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Pegacorn Group" sheetId="1" state="visible" r:id="rId3"/>
    <sheet name="Read Me" sheetId="2" state="visible" r:id="rId4"/>
    <sheet name="Assumptions" sheetId="3" state="visible" r:id="rId5"/>
    <sheet name="Headcount" sheetId="4" state="visible" r:id="rId6"/>
    <sheet name="Revenue" sheetId="5" state="visible" r:id="rId7"/>
    <sheet name="OpEx" sheetId="6" state="visible" r:id="rId8"/>
    <sheet name="P&amp;L" sheetId="7" state="visible" r:id="rId9"/>
    <sheet name="Balance Sheet" sheetId="8" state="visible" r:id="rId10"/>
    <sheet name="Cash Flow"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<sst xmlns="http://schemas.openxmlformats.org/spreadsheetml/2006/main" count="399" uniqueCount="272">
  <si>
    <t xml:space="preserve">PEGACORN GROUP</t>
  </si>
  <si>
    <t xml:space="preserve">Fractional CFO, accounting, and HR for venture-backed startups</t>
  </si>
  <si>
    <t xml:space="preserve">About this model</t>
  </si>
  <si>
    <t xml:space="preserve">What you are holding</t>
  </si>
  <si>
    <t xml:space="preserve">This is a working 2027 operating plan, not a blank template. Enter your headcount, revenue, and spend, and it produces a linked P&amp;L, balance sheet, and statement of cash flows with monthly burn and runway. Every tab is built the way we build them for clients. Start on the Read Me tab.</t>
  </si>
  <si>
    <t xml:space="preserve">Who we are</t>
  </si>
  <si>
    <t xml:space="preserve">Operator-led</t>
  </si>
  <si>
    <t xml:space="preserve">Pegacorn Group is a boutique finance, accounting, and HR firm built for venture-backed startups. We work with companies from pre-seed through public across cybersecurity, biotech, healthcare, deep tech, and SaaS. Founded by Matt Twiford after a decade-plus inside high-growth startups, including two acquisitions, Series A through C raises, acquisition diligence, SOX implementation, and large-scale restructurings.</t>
  </si>
  <si>
    <t xml:space="preserve">No layers</t>
  </si>
  <si>
    <t xml:space="preserve">The person on the call is the person doing the work. No handoff from a sales partner to a junior associate after onboarding, and no account managers between you and the numbers.</t>
  </si>
  <si>
    <t xml:space="preserve">What we do</t>
  </si>
  <si>
    <t xml:space="preserve">Bookkeeping &amp; Close</t>
  </si>
  <si>
    <t xml:space="preserve">$1,000 to $3,500 / mo</t>
  </si>
  <si>
    <t xml:space="preserve">Monthly close on a consistent schedule, reconciliations, accrual-basis financial statements, and a clean year-end package for your tax preparer.</t>
  </si>
  <si>
    <t xml:space="preserve">Controller + Accounting</t>
  </si>
  <si>
    <t xml:space="preserve">$3,500 to $5,000 / mo</t>
  </si>
  <si>
    <t xml:space="preserve">Everything above, plus AP and AR, payroll administration and multi-state compliance, revenue recognition, budget vs. actual reporting, and audit-ready documentation.</t>
  </si>
  <si>
    <t xml:space="preserve">Fractional CFO</t>
  </si>
  <si>
    <t xml:space="preserve">Starting at $5,000 / mo</t>
  </si>
  <si>
    <t xml:space="preserve">Everything above, plus cap table and 409A coordination, the operating model and forecast, 13-week cash flow, board and investor reporting, and fundraising and diligence support.</t>
  </si>
  <si>
    <t xml:space="preserve">Month-to-month. No setup fees. Full pricing at pegacorngroup.com/pricing</t>
  </si>
  <si>
    <t xml:space="preserve">Signals it is time to talk</t>
  </si>
  <si>
    <t xml:space="preserve">•</t>
  </si>
  <si>
    <t xml:space="preserve">A raise, audit, or first institutional board is coming and the finance function is not ready</t>
  </si>
  <si>
    <t xml:space="preserve">Your books are behind, unreconciled, or you are not confident the financials are right</t>
  </si>
  <si>
    <t xml:space="preserve">You need CFO-level judgment, but not a full-time CFO salary</t>
  </si>
  <si>
    <t xml:space="preserve">Nobody owns the numbers, and the board package is a scramble every quarter</t>
  </si>
  <si>
    <t xml:space="preserve">A bookkeeper or controller just left and the work landed back on the founder</t>
  </si>
  <si>
    <t xml:space="preserve">As seen in</t>
  </si>
  <si>
    <t xml:space="preserve">Forbes  ·  Inc.  ·  U.S. News &amp; World Report  ·  Kiplinger  ·  USA TODAY</t>
  </si>
  <si>
    <t xml:space="preserve">Matt Twiford is quoted regularly on startup finance, accounting, and the funding environment.</t>
  </si>
  <si>
    <t xml:space="preserve">Want help building your 2027 plan?</t>
  </si>
  <si>
    <t xml:space="preserve">pegacorngroup.com</t>
  </si>
  <si>
    <t xml:space="preserve">Tell us where your finance function stands and what is coming next. We will tell you what support actually makes sense, no obligation.</t>
  </si>
  <si>
    <t xml:space="preserve">© 2026 Pegacorn Group LLC. Provided as a general planning tool, not accounting, tax, or legal advice.</t>
  </si>
  <si>
    <t xml:space="preserve">2027 Startup Budget Model</t>
  </si>
  <si>
    <t xml:space="preserve">A working operating plan for venture-backed startups. Built by Pegacorn Group.</t>
  </si>
  <si>
    <t xml:space="preserve">How this model is wired</t>
  </si>
  <si>
    <t xml:space="preserve">Enter your numbers in the blue cells only. Everything in black is a formula that will recalculate on its own. Green text means the cell is pulling from another tab.</t>
  </si>
  <si>
    <t xml:space="preserve">Tabs run in dependency order. Assumptions feeds Headcount and the statements. Headcount feeds payroll cost into the P&amp;L by cost center. Revenue drives the top line and COGS. OpEx holds non-payroll spend by cost center. The P&amp;L, Balance Sheet and Cash Flow are fully linked, and the Balance Sheet carries a check row that must read zero in every month.</t>
  </si>
  <si>
    <t xml:space="preserve">Color convention</t>
  </si>
  <si>
    <t xml:space="preserve">Blue text = your input. Black text = formula, leave alone. Green text = pulled from another tab. Yellow fill = key assumption worth revisiting before you circulate the plan.</t>
  </si>
  <si>
    <t xml:space="preserve">Three ways to build a budget</t>
  </si>
  <si>
    <t xml:space="preserve">Top-down</t>
  </si>
  <si>
    <t xml:space="preserve">Start with a target and work backward. Set the year-end ARR number, the runway you need to protect, or the burn multiple the board expects, then allocate spend across departments to hit it. Fast, useful for framing the year in a board conversation, and the only practical approach when you are setting the envelope before department leads have built anything. The weakness is that nobody owns the number. A top-down plan that lands on department heads without their input tends to be missed by Q2, because the people spending the money never agreed the amount was achievable.</t>
  </si>
  <si>
    <t xml:space="preserve">Bottom-up</t>
  </si>
  <si>
    <t xml:space="preserve">Start with the detail and add it up. Each manager builds their own hiring plan, vendor list, and program spend, and the total becomes the budget. The numbers are defensible because the people who own them built them, and variance analysis is far more useful because every line traces to someone. The weakness is equally predictable: unconstrained bottom-up budgets come in over what the business can afford, usually by 20% to 40%, because no individual manager is accountable for the total.</t>
  </si>
  <si>
    <t xml:space="preserve">Top-down and bottom-up together (what we recommend)</t>
  </si>
  <si>
    <t xml:space="preserve">Run both and reconcile the gap. In practice that means four steps. First, set the envelope: leadership decides the total spend and the runway the plan has to protect, working backward from cash on hand and the next raise. Second, department leads build bottom-up inside a stated target, not in a vacuum. Third, reconcile. The bottom-up total will exceed the envelope, and the conversation about what comes out is the single most valuable part of the entire budgeting process. Fourth, lock the plan and track variance monthly against it. The reconciliation step is where a budget stops being a spreadsheet and becomes a set of decisions the leadership team has actually made together.</t>
  </si>
  <si>
    <t xml:space="preserve">Practices worth keeping</t>
  </si>
  <si>
    <t xml:space="preserve">Build the downside case before you need it.</t>
  </si>
  <si>
    <t xml:space="preserve">Model a case where revenue lands 30% under plan and know exactly which spend you would cut and when. A plan with no downside case is a forecast, not a budget.</t>
  </si>
  <si>
    <t xml:space="preserve">Tie hiring to triggers, not dates.</t>
  </si>
  <si>
    <t xml:space="preserve">A start month in a spreadsheet is a guess. Write down what has to be true before each hire is approved, and the plan survives a bad quarter without a scramble.</t>
  </si>
  <si>
    <t xml:space="preserve">Protect runway first.</t>
  </si>
  <si>
    <t xml:space="preserve">Decide the minimum months of runway you will not go below, then build the plan inside it. Most startups should assume the next round takes longer and costs more than the model says.</t>
  </si>
  <si>
    <t xml:space="preserve">Load payroll properly.</t>
  </si>
  <si>
    <t xml:space="preserve">Base salary is roughly 70% to 80% of the real cost. Employer taxes, benefits, and bonus are not rounding errors, and a budget built on base salary alone will run over every month.</t>
  </si>
  <si>
    <t xml:space="preserve">Freeze the plan and track variance monthly.</t>
  </si>
  <si>
    <t xml:space="preserve">A budget that gets quietly revised to match actuals teaches you nothing. Lock it, then explain the gap every month, favorable or unfavorable.</t>
  </si>
  <si>
    <t xml:space="preserve">Revisit quarterly, re-forecast, do not rewrite.</t>
  </si>
  <si>
    <t xml:space="preserve">Keep the original plan visible alongside the current forecast so the board can see both what you committed to and where you now expect to land.</t>
  </si>
  <si>
    <t xml:space="preserve">A note on the sample numbers</t>
  </si>
  <si>
    <t xml:space="preserve">Every blue cell is filled with illustrative figures for a Series A SaaS company so the model works out of the box and you can see how the tabs connect. Replace them with your own. The employer tax rates on the Assumptions tab are simplified blended rates and are not a substitute for your payroll provider's actual calculation; check your own state unemployment rate.</t>
  </si>
  <si>
    <t xml:space="preserve">Questions on any of this: pegacorngroup.com</t>
  </si>
  <si>
    <t xml:space="preserve">Assumptions</t>
  </si>
  <si>
    <t xml:space="preserve">Blue cells are inputs. Yellow fill marks the assumptions worth arguing about.</t>
  </si>
  <si>
    <t xml:space="preserve">Assumption</t>
  </si>
  <si>
    <t xml:space="preserve">Value</t>
  </si>
  <si>
    <t xml:space="preserve">Note</t>
  </si>
  <si>
    <t xml:space="preserve">Payroll loading</t>
  </si>
  <si>
    <t xml:space="preserve">Employer FICA (Social Security + Medicare)</t>
  </si>
  <si>
    <t xml:space="preserve">Employer share. Ignores the Social Security wage base cap.</t>
  </si>
  <si>
    <t xml:space="preserve">Federal unemployment (FUTA)</t>
  </si>
  <si>
    <t xml:space="preserve">Applies to the first $7,000 of wages; simplified here as a flat rate.</t>
  </si>
  <si>
    <t xml:space="preserve">State unemployment (SUTA), blended</t>
  </si>
  <si>
    <t xml:space="preserve">Varies by state and experience rating. Replace with your actual rate.</t>
  </si>
  <si>
    <t xml:space="preserve">Total employer tax load</t>
  </si>
  <si>
    <t xml:space="preserve">Sum of the three above. Used by the Headcount tab.</t>
  </si>
  <si>
    <t xml:space="preserve">Benefits cost per employee per month</t>
  </si>
  <si>
    <t xml:space="preserve">Medical, dental, vision, life, 401(k) match. Replace with your actual.</t>
  </si>
  <si>
    <t xml:space="preserve">Bonus / variable comp, % of base</t>
  </si>
  <si>
    <t xml:space="preserve">Blended across the company. Set per person on the Headcount tab if it varies.</t>
  </si>
  <si>
    <t xml:space="preserve">Payroll taxes and benefits as % of base (check)</t>
  </si>
  <si>
    <t xml:space="preserve">Informational. Shows the true loaded cost premium over base salary.</t>
  </si>
  <si>
    <t xml:space="preserve">Revenue and collections</t>
  </si>
  <si>
    <t xml:space="preserve">Days sales outstanding (DSO)</t>
  </si>
  <si>
    <t xml:space="preserve">Drives accounts receivable on the Balance Sheet.</t>
  </si>
  <si>
    <t xml:space="preserve">% of ARR billed annually up front</t>
  </si>
  <si>
    <t xml:space="preserve">Drives deferred revenue. Higher = better cash position.</t>
  </si>
  <si>
    <t xml:space="preserve">Cost structure</t>
  </si>
  <si>
    <t xml:space="preserve">Hosting / infrastructure, % of revenue</t>
  </si>
  <si>
    <t xml:space="preserve">Cloud spend. Sits in COGS.</t>
  </si>
  <si>
    <t xml:space="preserve">Payment processing, % of revenue</t>
  </si>
  <si>
    <t xml:space="preserve">Card and ACH fees. Sits in COGS.</t>
  </si>
  <si>
    <t xml:space="preserve">Days payable outstanding (DPO)</t>
  </si>
  <si>
    <t xml:space="preserve">Drives accounts payable on the Balance Sheet.</t>
  </si>
  <si>
    <t xml:space="preserve">Accrued liabilities, % of monthly opex</t>
  </si>
  <si>
    <t xml:space="preserve">Unpaid payroll, unbilled vendors at month end.</t>
  </si>
  <si>
    <t xml:space="preserve">Prepaid expenses, % of monthly opex</t>
  </si>
  <si>
    <t xml:space="preserve">Annual software, insurance paid up front.</t>
  </si>
  <si>
    <t xml:space="preserve">Non-cash and capital</t>
  </si>
  <si>
    <t xml:space="preserve">Stock compensation per month</t>
  </si>
  <si>
    <t xml:space="preserve">ASC 718 expense. Non-cash, added back on the Cash Flow tab.</t>
  </si>
  <si>
    <t xml:space="preserve">Capital expenditure per month</t>
  </si>
  <si>
    <t xml:space="preserve">Laptops, equipment. Adjust by month on the Cash Flow tab if lumpy.</t>
  </si>
  <si>
    <t xml:space="preserve">Depreciation, monthly % of net PP&amp;E</t>
  </si>
  <si>
    <t xml:space="preserve">Approximates a 3-year straight-line life.</t>
  </si>
  <si>
    <t xml:space="preserve">Interest income, annual rate on cash</t>
  </si>
  <si>
    <t xml:space="preserve">Yield on the operating and treasury balance.</t>
  </si>
  <si>
    <t xml:space="preserve">Opening balance sheet (as of 12/31/2026)</t>
  </si>
  <si>
    <t xml:space="preserve">Cash and cash equivalents</t>
  </si>
  <si>
    <t xml:space="preserve">Starting cash. This is the single most important input in the model.</t>
  </si>
  <si>
    <t xml:space="preserve">Accounts receivable</t>
  </si>
  <si>
    <t xml:space="preserve">Opening AR balance. Keep it consistent with your DSO so month 1 has no false swing.</t>
  </si>
  <si>
    <t xml:space="preserve">Prepaid expenses</t>
  </si>
  <si>
    <t xml:space="preserve">Opening prepaid balance.</t>
  </si>
  <si>
    <t xml:space="preserve">Net property and equipment</t>
  </si>
  <si>
    <t xml:space="preserve">Opening net book value.</t>
  </si>
  <si>
    <t xml:space="preserve">Accounts payable</t>
  </si>
  <si>
    <t xml:space="preserve">Opening AP balance.</t>
  </si>
  <si>
    <t xml:space="preserve">Accrued liabilities</t>
  </si>
  <si>
    <t xml:space="preserve">Opening accrued balance.</t>
  </si>
  <si>
    <t xml:space="preserve">Deferred revenue</t>
  </si>
  <si>
    <t xml:space="preserve">Opening deferred revenue balance.</t>
  </si>
  <si>
    <t xml:space="preserve">Paid-in capital</t>
  </si>
  <si>
    <t xml:space="preserve">Cumulative equity raised to date.</t>
  </si>
  <si>
    <t xml:space="preserve">Retained earnings (accumulated deficit)</t>
  </si>
  <si>
    <t xml:space="preserve">Opening accumulated deficit. Set so the opening sheet balances.</t>
  </si>
  <si>
    <t xml:space="preserve">Opening balance check (must be zero)</t>
  </si>
  <si>
    <t xml:space="preserve">Assets less liabilities and equity. Fix your opening inputs if not zero.</t>
  </si>
  <si>
    <t xml:space="preserve">Financing</t>
  </si>
  <si>
    <t xml:space="preserve">New equity raised during 2027</t>
  </si>
  <si>
    <t xml:space="preserve">Total. Timing is set on the Cash Flow tab. Leave at zero to see unfunded runway.</t>
  </si>
  <si>
    <t xml:space="preserve">Headcount plan</t>
  </si>
  <si>
    <t xml:space="preserve">One row per person or planned hire. Start month 0 means already employed. Fully loaded cost flows to the P&amp;L by cost center.</t>
  </si>
  <si>
    <t xml:space="preserve">Cost center</t>
  </si>
  <si>
    <t xml:space="preserve">Role / title</t>
  </si>
  <si>
    <t xml:space="preserve">Start month</t>
  </si>
  <si>
    <t xml:space="preserve">End month</t>
  </si>
  <si>
    <t xml:space="preserve">Annual base salary</t>
  </si>
  <si>
    <t xml:space="preserve">Bonus %</t>
  </si>
  <si>
    <t xml:space="preserve">Jan-27</t>
  </si>
  <si>
    <t xml:space="preserve">Feb-27</t>
  </si>
  <si>
    <t xml:space="preserve">Mar-27</t>
  </si>
  <si>
    <t xml:space="preserve">Apr-27</t>
  </si>
  <si>
    <t xml:space="preserve">May-27</t>
  </si>
  <si>
    <t xml:space="preserve">Jun-27</t>
  </si>
  <si>
    <t xml:space="preserve">Jul-27</t>
  </si>
  <si>
    <t xml:space="preserve">Aug-27</t>
  </si>
  <si>
    <t xml:space="preserve">Sep-27</t>
  </si>
  <si>
    <t xml:space="preserve">Oct-27</t>
  </si>
  <si>
    <t xml:space="preserve">Nov-27</t>
  </si>
  <si>
    <t xml:space="preserve">Dec-27</t>
  </si>
  <si>
    <t xml:space="preserve">FY2027</t>
  </si>
  <si>
    <t xml:space="preserve">Month #</t>
  </si>
  <si>
    <t xml:space="preserve">G&amp;A</t>
  </si>
  <si>
    <t xml:space="preserve">CEO</t>
  </si>
  <si>
    <t xml:space="preserve">Head of Finance</t>
  </si>
  <si>
    <t xml:space="preserve">Office / People Ops</t>
  </si>
  <si>
    <t xml:space="preserve">Controller</t>
  </si>
  <si>
    <t xml:space="preserve">Engineering</t>
  </si>
  <si>
    <t xml:space="preserve">VP Engineering</t>
  </si>
  <si>
    <t xml:space="preserve">Senior Engineer</t>
  </si>
  <si>
    <t xml:space="preserve">Engineer</t>
  </si>
  <si>
    <t xml:space="preserve">Product Manager</t>
  </si>
  <si>
    <t xml:space="preserve">Sales &amp; Marketing</t>
  </si>
  <si>
    <t xml:space="preserve">VP Sales</t>
  </si>
  <si>
    <t xml:space="preserve">Account Executive</t>
  </si>
  <si>
    <t xml:space="preserve">Demand Gen Manager</t>
  </si>
  <si>
    <t xml:space="preserve">SDR</t>
  </si>
  <si>
    <t xml:space="preserve">Customer Success</t>
  </si>
  <si>
    <t xml:space="preserve">CS Manager</t>
  </si>
  <si>
    <t xml:space="preserve">CS Associate</t>
  </si>
  <si>
    <t xml:space="preserve">Support (COGS)</t>
  </si>
  <si>
    <t xml:space="preserve">Support Engineer</t>
  </si>
  <si>
    <t xml:space="preserve">Total loaded payroll cost</t>
  </si>
  <si>
    <t xml:space="preserve">Headcount (active)</t>
  </si>
  <si>
    <t xml:space="preserve">Cost center must match the names on the OpEx and P&amp;L tabs exactly.</t>
  </si>
  <si>
    <t xml:space="preserve">End month 99 means the role runs through the full year. Rows below the sample data are blank and ready for your own hires.</t>
  </si>
  <si>
    <t xml:space="preserve">Revenue and cost of revenue</t>
  </si>
  <si>
    <t xml:space="preserve">ARR build drives recognized revenue. COGS is driven off revenue and support payroll.</t>
  </si>
  <si>
    <t xml:space="preserve">ARR build</t>
  </si>
  <si>
    <t xml:space="preserve">Beginning ARR</t>
  </si>
  <si>
    <t xml:space="preserve">New ARR</t>
  </si>
  <si>
    <t xml:space="preserve">Expansion ARR</t>
  </si>
  <si>
    <t xml:space="preserve">Churn and contraction ARR</t>
  </si>
  <si>
    <t xml:space="preserve">Ending ARR</t>
  </si>
  <si>
    <t xml:space="preserve">Recognized revenue</t>
  </si>
  <si>
    <t xml:space="preserve">Subscription revenue</t>
  </si>
  <si>
    <t xml:space="preserve">Services and implementation revenue</t>
  </si>
  <si>
    <t xml:space="preserve">Total revenue</t>
  </si>
  <si>
    <t xml:space="preserve">Cost of revenue</t>
  </si>
  <si>
    <t xml:space="preserve">Hosting and infrastructure</t>
  </si>
  <si>
    <t xml:space="preserve">Payment processing</t>
  </si>
  <si>
    <t xml:space="preserve">Support payroll (from Headcount)</t>
  </si>
  <si>
    <t xml:space="preserve">Third-party licenses in COGS</t>
  </si>
  <si>
    <t xml:space="preserve">Total cost of revenue</t>
  </si>
  <si>
    <t xml:space="preserve">Gross margin %</t>
  </si>
  <si>
    <t xml:space="preserve">Operating expenses, non-payroll</t>
  </si>
  <si>
    <t xml:space="preserve">Payroll is not entered here. It flows from the Headcount tab straight into the P&amp;L.</t>
  </si>
  <si>
    <t xml:space="preserve">Expense category</t>
  </si>
  <si>
    <t xml:space="preserve">Software and dev tools</t>
  </si>
  <si>
    <t xml:space="preserve">Cloud (non-production)</t>
  </si>
  <si>
    <t xml:space="preserve">Contractors</t>
  </si>
  <si>
    <t xml:space="preserve">Training and conferences</t>
  </si>
  <si>
    <t xml:space="preserve">Paid advertising</t>
  </si>
  <si>
    <t xml:space="preserve">Events and conferences</t>
  </si>
  <si>
    <t xml:space="preserve">Content and agency</t>
  </si>
  <si>
    <t xml:space="preserve">Sales tools and CRM</t>
  </si>
  <si>
    <t xml:space="preserve">Travel and entertainment</t>
  </si>
  <si>
    <t xml:space="preserve">CS platform and tooling</t>
  </si>
  <si>
    <t xml:space="preserve">Customer travel</t>
  </si>
  <si>
    <t xml:space="preserve">Rent and facilities</t>
  </si>
  <si>
    <t xml:space="preserve">Legal</t>
  </si>
  <si>
    <t xml:space="preserve">Accounting and audit</t>
  </si>
  <si>
    <t xml:space="preserve">Insurance (D&amp;O, E&amp;O, general)</t>
  </si>
  <si>
    <t xml:space="preserve">Software and IT</t>
  </si>
  <si>
    <t xml:space="preserve">Recruiting fees</t>
  </si>
  <si>
    <t xml:space="preserve">Payroll and PEO fees</t>
  </si>
  <si>
    <t xml:space="preserve">Franchise tax and filings</t>
  </si>
  <si>
    <t xml:space="preserve">Other G&amp;A</t>
  </si>
  <si>
    <t xml:space="preserve">Total non-payroll opex</t>
  </si>
  <si>
    <t xml:space="preserve">Cost center names must match the Headcount tab exactly. Blank rows below are ready for your own categories.</t>
  </si>
  <si>
    <t xml:space="preserve">Profit and loss</t>
  </si>
  <si>
    <t xml:space="preserve">Every line is linked. Change an input on Assumptions, Headcount, Revenue or OpEx and this updates.</t>
  </si>
  <si>
    <t xml:space="preserve">Gross profit</t>
  </si>
  <si>
    <t xml:space="preserve">Operating expenses</t>
  </si>
  <si>
    <t xml:space="preserve">Total operating expenses</t>
  </si>
  <si>
    <t xml:space="preserve">EBITDA</t>
  </si>
  <si>
    <t xml:space="preserve">EBITDA margin %</t>
  </si>
  <si>
    <t xml:space="preserve">Stock-based compensation</t>
  </si>
  <si>
    <t xml:space="preserve">Depreciation</t>
  </si>
  <si>
    <t xml:space="preserve">Operating income (loss)</t>
  </si>
  <si>
    <t xml:space="preserve">Interest income</t>
  </si>
  <si>
    <t xml:space="preserve">Net income (loss)</t>
  </si>
  <si>
    <t xml:space="preserve">Headcount (active, end of month)</t>
  </si>
  <si>
    <t xml:space="preserve">Net burn (from Cash Flow)</t>
  </si>
  <si>
    <t xml:space="preserve">Balance sheet</t>
  </si>
  <si>
    <t xml:space="preserve">Column B is the opening balance from the Assumptions tab. The check row at the bottom must read zero every month.</t>
  </si>
  <si>
    <t xml:space="preserve">Open</t>
  </si>
  <si>
    <t xml:space="preserve">Assets</t>
  </si>
  <si>
    <t xml:space="preserve">Property and equipment, net</t>
  </si>
  <si>
    <t xml:space="preserve">Total assets</t>
  </si>
  <si>
    <t xml:space="preserve">Liabilities</t>
  </si>
  <si>
    <t xml:space="preserve">Total liabilities</t>
  </si>
  <si>
    <t xml:space="preserve">Equity</t>
  </si>
  <si>
    <t xml:space="preserve">Total equity</t>
  </si>
  <si>
    <t xml:space="preserve">Total liabilities and equity</t>
  </si>
  <si>
    <t xml:space="preserve">Check: assets less liabilities and equity (must be zero)</t>
  </si>
  <si>
    <t xml:space="preserve">Statement of cash flows</t>
  </si>
  <si>
    <t xml:space="preserve">Indirect method. Ending cash flows back to the Balance Sheet, and runway is at the bottom.</t>
  </si>
  <si>
    <t xml:space="preserve">Operating activities</t>
  </si>
  <si>
    <t xml:space="preserve">Change in accounts receivable</t>
  </si>
  <si>
    <t xml:space="preserve">Change in prepaid expenses</t>
  </si>
  <si>
    <t xml:space="preserve">Change in accounts payable</t>
  </si>
  <si>
    <t xml:space="preserve">Change in accrued liabilities</t>
  </si>
  <si>
    <t xml:space="preserve">Change in deferred revenue</t>
  </si>
  <si>
    <t xml:space="preserve">Cash from operating activities</t>
  </si>
  <si>
    <t xml:space="preserve">Investing activities</t>
  </si>
  <si>
    <t xml:space="preserve">Capital expenditure</t>
  </si>
  <si>
    <t xml:space="preserve">Cash from investing activities</t>
  </si>
  <si>
    <t xml:space="preserve">Financing activities</t>
  </si>
  <si>
    <t xml:space="preserve">Equity raised</t>
  </si>
  <si>
    <t xml:space="preserve">Cash from financing activities</t>
  </si>
  <si>
    <t xml:space="preserve">Net change in cash</t>
  </si>
  <si>
    <t xml:space="preserve">Beginning cash</t>
  </si>
  <si>
    <t xml:space="preserve">Ending cash</t>
  </si>
  <si>
    <t xml:space="preserve">Burn and runway</t>
  </si>
  <si>
    <t xml:space="preserve">Net burn (monthly)</t>
  </si>
  <si>
    <t xml:space="preserve">Trailing 3-month average burn</t>
  </si>
  <si>
    <t xml:space="preserve">Runway at this burn (months)</t>
  </si>
</sst>
</file>

<file path=xl/styles.xml><?xml version="1.0" encoding="utf-8"?>
<styleSheet xmlns="http://schemas.openxmlformats.org/spreadsheetml/2006/main">
  <numFmts count="5">
    <numFmt numFmtId="164" formatCode="General"/>
    <numFmt numFmtId="165" formatCode="0.0%"/>
    <numFmt numFmtId="166" formatCode="\$#,##0;&quot;($&quot;#,##0\);\-"/>
    <numFmt numFmtId="167" formatCode="#,##0;\(#,##0\);\-"/>
    <numFmt numFmtId="168" formatCode="0.0;\(0.0\);\-"/>
  </numFmts>
  <fonts count="24">
    <font>
      <sz val="11"/>
      <color theme="1"/>
      <name val="Calibri"/>
      <family val="2"/>
      <charset val="1"/>
    </font>
    <font>
      <sz val="10"/>
      <name val="Arial"/>
      <family val="0"/>
    </font>
    <font>
      <sz val="10"/>
      <name val="Arial"/>
      <family val="0"/>
    </font>
    <font>
      <sz val="10"/>
      <name val="Arial"/>
      <family val="0"/>
    </font>
    <font>
      <b val="true"/>
      <sz val="22"/>
      <color rgb="FF1F3864"/>
      <name val="Arial"/>
      <family val="0"/>
      <charset val="1"/>
    </font>
    <font>
      <sz val="12"/>
      <color rgb="FF595959"/>
      <name val="Arial"/>
      <family val="0"/>
      <charset val="1"/>
    </font>
    <font>
      <b val="true"/>
      <sz val="10"/>
      <color rgb="FF1F3864"/>
      <name val="Arial"/>
      <family val="0"/>
      <charset val="1"/>
    </font>
    <font>
      <b val="true"/>
      <sz val="10"/>
      <name val="Arial"/>
      <family val="0"/>
      <charset val="1"/>
    </font>
    <font>
      <sz val="10"/>
      <name val="Arial"/>
      <family val="0"/>
      <charset val="1"/>
    </font>
    <font>
      <sz val="9"/>
      <color rgb="FF404040"/>
      <name val="Arial"/>
      <family val="0"/>
      <charset val="1"/>
    </font>
    <font>
      <i val="true"/>
      <sz val="9"/>
      <color rgb="FF595959"/>
      <name val="Arial"/>
      <family val="0"/>
      <charset val="1"/>
    </font>
    <font>
      <sz val="10"/>
      <color rgb="FF1F3864"/>
      <name val="Arial"/>
      <family val="0"/>
      <charset val="1"/>
    </font>
    <font>
      <b val="true"/>
      <sz val="11"/>
      <color rgb="FF1F3864"/>
      <name val="Arial"/>
      <family val="0"/>
      <charset val="1"/>
    </font>
    <font>
      <b val="true"/>
      <sz val="12"/>
      <color rgb="FFFFFFFF"/>
      <name val="Arial"/>
      <family val="0"/>
      <charset val="1"/>
    </font>
    <font>
      <b val="true"/>
      <sz val="14"/>
      <color rgb="FF1F3864"/>
      <name val="Arial"/>
      <family val="0"/>
      <charset val="1"/>
    </font>
    <font>
      <i val="true"/>
      <sz val="8"/>
      <color rgb="FF808080"/>
      <name val="Arial"/>
      <family val="0"/>
      <charset val="1"/>
    </font>
    <font>
      <b val="true"/>
      <sz val="18"/>
      <color rgb="FF1F3864"/>
      <name val="Arial"/>
      <family val="0"/>
      <charset val="1"/>
    </font>
    <font>
      <i val="true"/>
      <sz val="10"/>
      <color rgb="FF595959"/>
      <name val="Arial"/>
      <family val="0"/>
      <charset val="1"/>
    </font>
    <font>
      <i val="true"/>
      <sz val="10"/>
      <color rgb="FF1F3864"/>
      <name val="Arial"/>
      <family val="0"/>
      <charset val="1"/>
    </font>
    <font>
      <b val="true"/>
      <sz val="10"/>
      <color rgb="FFFFFFFF"/>
      <name val="Arial"/>
      <family val="0"/>
      <charset val="1"/>
    </font>
    <font>
      <sz val="10"/>
      <color rgb="FF0000FF"/>
      <name val="Arial"/>
      <family val="0"/>
      <charset val="1"/>
    </font>
    <font>
      <sz val="9"/>
      <color rgb="FF595959"/>
      <name val="Arial"/>
      <family val="0"/>
      <charset val="1"/>
    </font>
    <font>
      <sz val="10"/>
      <color rgb="FF008000"/>
      <name val="Arial"/>
      <family val="0"/>
      <charset val="1"/>
    </font>
    <font>
      <b val="true"/>
      <sz val="10"/>
      <color rgb="FF008000"/>
      <name val="Arial"/>
      <family val="0"/>
      <charset val="1"/>
    </font>
  </fonts>
  <fills count="5">
    <fill>
      <patternFill patternType="none"/>
    </fill>
    <fill>
      <patternFill patternType="gray125"/>
    </fill>
    <fill>
      <patternFill patternType="solid">
        <fgColor rgb="FFD9E2F3"/>
        <bgColor rgb="FFCCFFFF"/>
      </patternFill>
    </fill>
    <fill>
      <patternFill patternType="solid">
        <fgColor rgb="FF1F3864"/>
        <bgColor rgb="FF333399"/>
      </patternFill>
    </fill>
    <fill>
      <patternFill patternType="solid">
        <fgColor rgb="FFFFFF00"/>
        <bgColor rgb="FFFFFF00"/>
      </patternFill>
    </fill>
  </fills>
  <borders count="2">
    <border diagonalUp="false" diagonalDown="false">
      <left/>
      <right/>
      <top/>
      <bottom/>
      <diagonal/>
    </border>
    <border diagonalUp="false" diagonalDown="false">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9" fillId="3"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top" textRotation="0" wrapText="true" indent="0" shrinkToFit="false"/>
      <protection locked="true" hidden="false"/>
    </xf>
    <xf numFmtId="165" fontId="20" fillId="4"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20" fillId="4"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7" fontId="20" fillId="4" borderId="0" xfId="0" applyFont="true" applyBorder="false" applyAlignment="false" applyProtection="false">
      <alignment horizontal="general" vertical="bottom" textRotation="0" wrapText="false" indent="0" shrinkToFit="false"/>
      <protection locked="true" hidden="false"/>
    </xf>
    <xf numFmtId="167" fontId="20" fillId="0" borderId="0" xfId="0" applyFont="true" applyBorder="false" applyAlignment="false" applyProtection="false">
      <alignment horizontal="general" vertical="bottom" textRotation="0" wrapText="false" indent="0" shrinkToFit="false"/>
      <protection locked="true" hidden="false"/>
    </xf>
    <xf numFmtId="166" fontId="2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9" fillId="3" borderId="0" xfId="0" applyFont="true" applyBorder="false" applyAlignment="true" applyProtection="false">
      <alignment horizontal="center" vertical="center" textRotation="0" wrapText="true" indent="0" shrinkToFit="false"/>
      <protection locked="true" hidden="false"/>
    </xf>
    <xf numFmtId="164" fontId="19" fillId="3" borderId="0" xfId="0" applyFont="true" applyBorder="false" applyAlignment="true" applyProtection="false">
      <alignment horizontal="center" vertical="bottom" textRotation="0" wrapText="fals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center"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1"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66" fontId="23" fillId="0" borderId="0" xfId="0" applyFont="true" applyBorder="false" applyAlignment="false" applyProtection="false">
      <alignment horizontal="general" vertical="bottom" textRotation="0" wrapText="false" indent="0" shrinkToFit="false"/>
      <protection locked="true" hidden="false"/>
    </xf>
    <xf numFmtId="167" fontId="22"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76"/>
  </cols>
  <sheetData>
    <row r="2" customFormat="false" ht="26.8"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c r="C5" s="4"/>
    </row>
    <row r="6" customFormat="false" ht="57.75" hidden="false" customHeight="true" outlineLevel="0" collapsed="false">
      <c r="B6" s="5" t="s">
        <v>3</v>
      </c>
      <c r="C6" s="6" t="s">
        <v>4</v>
      </c>
    </row>
    <row r="8" customFormat="false" ht="15" hidden="false" customHeight="false" outlineLevel="0" collapsed="false">
      <c r="B8" s="3" t="s">
        <v>5</v>
      </c>
      <c r="C8" s="4"/>
    </row>
    <row r="9" customFormat="false" ht="72" hidden="false" customHeight="true" outlineLevel="0" collapsed="false">
      <c r="B9" s="5" t="s">
        <v>6</v>
      </c>
      <c r="C9" s="6" t="s">
        <v>7</v>
      </c>
    </row>
    <row r="11" customFormat="false" ht="43.5" hidden="false" customHeight="true" outlineLevel="0" collapsed="false">
      <c r="B11" s="5" t="s">
        <v>8</v>
      </c>
      <c r="C11" s="6" t="s">
        <v>9</v>
      </c>
    </row>
    <row r="13" customFormat="false" ht="15" hidden="false" customHeight="false" outlineLevel="0" collapsed="false">
      <c r="B13" s="3" t="s">
        <v>10</v>
      </c>
      <c r="C13" s="4"/>
    </row>
    <row r="14" customFormat="false" ht="15" hidden="false" customHeight="false" outlineLevel="0" collapsed="false">
      <c r="B14" s="7" t="s">
        <v>11</v>
      </c>
      <c r="C14" s="5" t="s">
        <v>12</v>
      </c>
    </row>
    <row r="15" customFormat="false" ht="30" hidden="false" customHeight="true" outlineLevel="0" collapsed="false">
      <c r="C15" s="8" t="s">
        <v>13</v>
      </c>
    </row>
    <row r="17" customFormat="false" ht="15" hidden="false" customHeight="false" outlineLevel="0" collapsed="false">
      <c r="B17" s="7" t="s">
        <v>14</v>
      </c>
      <c r="C17" s="5" t="s">
        <v>15</v>
      </c>
    </row>
    <row r="18" customFormat="false" ht="30" hidden="false" customHeight="true" outlineLevel="0" collapsed="false">
      <c r="C18" s="8" t="s">
        <v>16</v>
      </c>
    </row>
    <row r="20" customFormat="false" ht="15" hidden="false" customHeight="false" outlineLevel="0" collapsed="false">
      <c r="B20" s="7" t="s">
        <v>17</v>
      </c>
      <c r="C20" s="5" t="s">
        <v>18</v>
      </c>
    </row>
    <row r="21" customFormat="false" ht="30" hidden="false" customHeight="true" outlineLevel="0" collapsed="false">
      <c r="C21" s="8" t="s">
        <v>19</v>
      </c>
    </row>
    <row r="23" customFormat="false" ht="15" hidden="false" customHeight="false" outlineLevel="0" collapsed="false">
      <c r="C23" s="9" t="s">
        <v>20</v>
      </c>
    </row>
    <row r="25" customFormat="false" ht="15" hidden="false" customHeight="false" outlineLevel="0" collapsed="false">
      <c r="B25" s="3" t="s">
        <v>21</v>
      </c>
      <c r="C25" s="4"/>
    </row>
    <row r="26" customFormat="false" ht="15" hidden="false" customHeight="false" outlineLevel="0" collapsed="false">
      <c r="B26" s="10" t="s">
        <v>22</v>
      </c>
      <c r="C26" s="6" t="s">
        <v>23</v>
      </c>
    </row>
    <row r="27" customFormat="false" ht="15" hidden="false" customHeight="false" outlineLevel="0" collapsed="false">
      <c r="B27" s="10" t="s">
        <v>22</v>
      </c>
      <c r="C27" s="6" t="s">
        <v>24</v>
      </c>
    </row>
    <row r="28" customFormat="false" ht="15" hidden="false" customHeight="false" outlineLevel="0" collapsed="false">
      <c r="B28" s="10" t="s">
        <v>22</v>
      </c>
      <c r="C28" s="6" t="s">
        <v>25</v>
      </c>
    </row>
    <row r="29" customFormat="false" ht="15" hidden="false" customHeight="false" outlineLevel="0" collapsed="false">
      <c r="B29" s="10" t="s">
        <v>22</v>
      </c>
      <c r="C29" s="6" t="s">
        <v>26</v>
      </c>
    </row>
    <row r="30" customFormat="false" ht="15" hidden="false" customHeight="false" outlineLevel="0" collapsed="false">
      <c r="B30" s="10" t="s">
        <v>22</v>
      </c>
      <c r="C30" s="6" t="s">
        <v>27</v>
      </c>
    </row>
    <row r="32" customFormat="false" ht="15" hidden="false" customHeight="false" outlineLevel="0" collapsed="false">
      <c r="B32" s="3" t="s">
        <v>28</v>
      </c>
      <c r="C32" s="4"/>
    </row>
    <row r="33" customFormat="false" ht="15" hidden="false" customHeight="false" outlineLevel="0" collapsed="false">
      <c r="C33" s="11" t="s">
        <v>29</v>
      </c>
    </row>
    <row r="34" customFormat="false" ht="15" hidden="false" customHeight="false" outlineLevel="0" collapsed="false">
      <c r="C34" s="9" t="s">
        <v>30</v>
      </c>
    </row>
    <row r="36" customFormat="false" ht="24" hidden="false" customHeight="true" outlineLevel="0" collapsed="false">
      <c r="B36" s="12" t="s">
        <v>31</v>
      </c>
      <c r="C36" s="13"/>
    </row>
    <row r="37" customFormat="false" ht="30" hidden="false" customHeight="true" outlineLevel="0" collapsed="false">
      <c r="B37" s="14" t="s">
        <v>32</v>
      </c>
      <c r="C37" s="6" t="s">
        <v>33</v>
      </c>
    </row>
    <row r="39" customFormat="false" ht="15" hidden="false" customHeight="false" outlineLevel="0" collapsed="false">
      <c r="C39" s="15"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2" customFormat="false" ht="22.05" hidden="false" customHeight="false" outlineLevel="0" collapsed="false">
      <c r="B2" s="16" t="s">
        <v>35</v>
      </c>
    </row>
    <row r="3" customFormat="false" ht="15" hidden="false" customHeight="false" outlineLevel="0" collapsed="false">
      <c r="B3" s="17" t="s">
        <v>36</v>
      </c>
    </row>
    <row r="5" customFormat="false" ht="15" hidden="false" customHeight="false" outlineLevel="0" collapsed="false">
      <c r="B5" s="18" t="s">
        <v>37</v>
      </c>
    </row>
    <row r="6" customFormat="false" ht="30" hidden="false" customHeight="true" outlineLevel="0" collapsed="false">
      <c r="B6" s="6" t="s">
        <v>38</v>
      </c>
    </row>
    <row r="7" customFormat="false" ht="43.5" hidden="false" customHeight="true" outlineLevel="0" collapsed="false">
      <c r="B7" s="6" t="s">
        <v>39</v>
      </c>
    </row>
    <row r="9" customFormat="false" ht="15" hidden="false" customHeight="false" outlineLevel="0" collapsed="false">
      <c r="B9" s="18" t="s">
        <v>40</v>
      </c>
    </row>
    <row r="10" customFormat="false" ht="30" hidden="false" customHeight="true" outlineLevel="0" collapsed="false">
      <c r="B10" s="6" t="s">
        <v>41</v>
      </c>
    </row>
    <row r="12" customFormat="false" ht="15" hidden="false" customHeight="false" outlineLevel="0" collapsed="false">
      <c r="B12" s="18" t="s">
        <v>42</v>
      </c>
    </row>
    <row r="13" customFormat="false" ht="15" hidden="false" customHeight="false" outlineLevel="0" collapsed="false">
      <c r="B13" s="19" t="s">
        <v>43</v>
      </c>
    </row>
    <row r="14" customFormat="false" ht="72" hidden="false" customHeight="true" outlineLevel="0" collapsed="false">
      <c r="B14" s="6" t="s">
        <v>44</v>
      </c>
    </row>
    <row r="16" customFormat="false" ht="15" hidden="false" customHeight="false" outlineLevel="0" collapsed="false">
      <c r="B16" s="19" t="s">
        <v>45</v>
      </c>
    </row>
    <row r="17" customFormat="false" ht="72" hidden="false" customHeight="true" outlineLevel="0" collapsed="false">
      <c r="B17" s="6" t="s">
        <v>46</v>
      </c>
    </row>
    <row r="19" customFormat="false" ht="15" hidden="false" customHeight="false" outlineLevel="0" collapsed="false">
      <c r="B19" s="19" t="s">
        <v>47</v>
      </c>
    </row>
    <row r="20" customFormat="false" ht="85.5" hidden="false" customHeight="true" outlineLevel="0" collapsed="false">
      <c r="B20" s="6" t="s">
        <v>48</v>
      </c>
    </row>
    <row r="22" customFormat="false" ht="15" hidden="false" customHeight="false" outlineLevel="0" collapsed="false">
      <c r="B22" s="18" t="s">
        <v>49</v>
      </c>
    </row>
    <row r="23" customFormat="false" ht="15" hidden="false" customHeight="false" outlineLevel="0" collapsed="false">
      <c r="B23" s="5" t="s">
        <v>50</v>
      </c>
    </row>
    <row r="24" customFormat="false" ht="30" hidden="false" customHeight="true" outlineLevel="0" collapsed="false">
      <c r="B24" s="6" t="s">
        <v>51</v>
      </c>
    </row>
    <row r="26" customFormat="false" ht="15" hidden="false" customHeight="false" outlineLevel="0" collapsed="false">
      <c r="B26" s="5" t="s">
        <v>52</v>
      </c>
    </row>
    <row r="27" customFormat="false" ht="30" hidden="false" customHeight="true" outlineLevel="0" collapsed="false">
      <c r="B27" s="6" t="s">
        <v>53</v>
      </c>
    </row>
    <row r="29" customFormat="false" ht="15" hidden="false" customHeight="false" outlineLevel="0" collapsed="false">
      <c r="B29" s="5" t="s">
        <v>54</v>
      </c>
    </row>
    <row r="30" customFormat="false" ht="30" hidden="false" customHeight="true" outlineLevel="0" collapsed="false">
      <c r="B30" s="6" t="s">
        <v>55</v>
      </c>
    </row>
    <row r="32" customFormat="false" ht="15" hidden="false" customHeight="false" outlineLevel="0" collapsed="false">
      <c r="B32" s="5" t="s">
        <v>56</v>
      </c>
    </row>
    <row r="33" customFormat="false" ht="30" hidden="false" customHeight="true" outlineLevel="0" collapsed="false">
      <c r="B33" s="6" t="s">
        <v>57</v>
      </c>
    </row>
    <row r="35" customFormat="false" ht="15" hidden="false" customHeight="false" outlineLevel="0" collapsed="false">
      <c r="B35" s="5" t="s">
        <v>58</v>
      </c>
    </row>
    <row r="36" customFormat="false" ht="30" hidden="false" customHeight="true" outlineLevel="0" collapsed="false">
      <c r="B36" s="6" t="s">
        <v>59</v>
      </c>
    </row>
    <row r="38" customFormat="false" ht="15" hidden="false" customHeight="false" outlineLevel="0" collapsed="false">
      <c r="B38" s="5" t="s">
        <v>60</v>
      </c>
    </row>
    <row r="39" customFormat="false" ht="30" hidden="false" customHeight="true" outlineLevel="0" collapsed="false">
      <c r="B39" s="6" t="s">
        <v>61</v>
      </c>
    </row>
    <row r="42" customFormat="false" ht="15" hidden="false" customHeight="false" outlineLevel="0" collapsed="false">
      <c r="B42" s="18" t="s">
        <v>62</v>
      </c>
    </row>
    <row r="43" customFormat="false" ht="43.5" hidden="false" customHeight="true" outlineLevel="0" collapsed="false">
      <c r="B43" s="6" t="s">
        <v>63</v>
      </c>
    </row>
    <row r="45" customFormat="false" ht="15" hidden="false" customHeight="false" outlineLevel="0" collapsed="false">
      <c r="B45" s="20" t="s">
        <v>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52"/>
  </cols>
  <sheetData>
    <row r="1" customFormat="false" ht="17.35" hidden="false" customHeight="false" outlineLevel="0" collapsed="false">
      <c r="A1" s="14" t="s">
        <v>65</v>
      </c>
    </row>
    <row r="2" customFormat="false" ht="15" hidden="false" customHeight="false" outlineLevel="0" collapsed="false">
      <c r="A2" s="21" t="s">
        <v>66</v>
      </c>
    </row>
    <row r="4" customFormat="false" ht="15" hidden="false" customHeight="false" outlineLevel="0" collapsed="false">
      <c r="A4" s="22" t="s">
        <v>67</v>
      </c>
      <c r="B4" s="22" t="s">
        <v>68</v>
      </c>
      <c r="C4" s="22" t="s">
        <v>69</v>
      </c>
    </row>
    <row r="5" customFormat="false" ht="15" hidden="false" customHeight="false" outlineLevel="0" collapsed="false">
      <c r="A5" s="3" t="s">
        <v>70</v>
      </c>
      <c r="B5" s="4"/>
      <c r="C5" s="4"/>
    </row>
    <row r="6" customFormat="false" ht="15" hidden="false" customHeight="false" outlineLevel="0" collapsed="false">
      <c r="A6" s="23" t="s">
        <v>71</v>
      </c>
      <c r="B6" s="24" t="n">
        <v>0.0765</v>
      </c>
      <c r="C6" s="25" t="s">
        <v>72</v>
      </c>
    </row>
    <row r="7" customFormat="false" ht="15" hidden="false" customHeight="false" outlineLevel="0" collapsed="false">
      <c r="A7" s="23" t="s">
        <v>73</v>
      </c>
      <c r="B7" s="24" t="n">
        <v>0.006</v>
      </c>
      <c r="C7" s="25" t="s">
        <v>74</v>
      </c>
    </row>
    <row r="8" customFormat="false" ht="15" hidden="false" customHeight="false" outlineLevel="0" collapsed="false">
      <c r="A8" s="23" t="s">
        <v>75</v>
      </c>
      <c r="B8" s="26" t="n">
        <v>0.027</v>
      </c>
      <c r="C8" s="25" t="s">
        <v>76</v>
      </c>
    </row>
    <row r="9" customFormat="false" ht="15" hidden="false" customHeight="false" outlineLevel="0" collapsed="false">
      <c r="A9" s="23" t="s">
        <v>77</v>
      </c>
      <c r="B9" s="27" t="n">
        <f aca="false">B6+B7+B8</f>
        <v>0.1095</v>
      </c>
      <c r="C9" s="25" t="s">
        <v>78</v>
      </c>
    </row>
    <row r="10" customFormat="false" ht="15" hidden="false" customHeight="false" outlineLevel="0" collapsed="false">
      <c r="A10" s="23" t="s">
        <v>79</v>
      </c>
      <c r="B10" s="28" t="n">
        <v>1150</v>
      </c>
      <c r="C10" s="25" t="s">
        <v>80</v>
      </c>
    </row>
    <row r="11" customFormat="false" ht="22.35" hidden="false" customHeight="false" outlineLevel="0" collapsed="false">
      <c r="A11" s="23" t="s">
        <v>81</v>
      </c>
      <c r="B11" s="24" t="n">
        <v>0.08</v>
      </c>
      <c r="C11" s="25" t="s">
        <v>82</v>
      </c>
    </row>
    <row r="12" customFormat="false" ht="15" hidden="false" customHeight="false" outlineLevel="0" collapsed="false">
      <c r="A12" s="23" t="s">
        <v>83</v>
      </c>
      <c r="B12" s="29" t="n">
        <f aca="false">B9+B11</f>
        <v>0.1895</v>
      </c>
      <c r="C12" s="25" t="s">
        <v>84</v>
      </c>
    </row>
    <row r="13" customFormat="false" ht="15" hidden="false" customHeight="false" outlineLevel="0" collapsed="false">
      <c r="A13" s="3" t="s">
        <v>85</v>
      </c>
      <c r="B13" s="4"/>
      <c r="C13" s="4"/>
    </row>
    <row r="14" customFormat="false" ht="15" hidden="false" customHeight="false" outlineLevel="0" collapsed="false">
      <c r="A14" s="23" t="s">
        <v>86</v>
      </c>
      <c r="B14" s="30" t="n">
        <v>45</v>
      </c>
      <c r="C14" s="25" t="s">
        <v>87</v>
      </c>
    </row>
    <row r="15" customFormat="false" ht="15" hidden="false" customHeight="false" outlineLevel="0" collapsed="false">
      <c r="A15" s="23" t="s">
        <v>88</v>
      </c>
      <c r="B15" s="26" t="n">
        <v>0.45</v>
      </c>
      <c r="C15" s="25" t="s">
        <v>89</v>
      </c>
    </row>
    <row r="16" customFormat="false" ht="15" hidden="false" customHeight="false" outlineLevel="0" collapsed="false">
      <c r="A16" s="3" t="s">
        <v>90</v>
      </c>
      <c r="B16" s="4"/>
      <c r="C16" s="4"/>
    </row>
    <row r="17" customFormat="false" ht="15" hidden="false" customHeight="false" outlineLevel="0" collapsed="false">
      <c r="A17" s="23" t="s">
        <v>91</v>
      </c>
      <c r="B17" s="24" t="n">
        <v>0.07</v>
      </c>
      <c r="C17" s="25" t="s">
        <v>92</v>
      </c>
    </row>
    <row r="18" customFormat="false" ht="15" hidden="false" customHeight="false" outlineLevel="0" collapsed="false">
      <c r="A18" s="23" t="s">
        <v>93</v>
      </c>
      <c r="B18" s="24" t="n">
        <v>0.025</v>
      </c>
      <c r="C18" s="25" t="s">
        <v>94</v>
      </c>
    </row>
    <row r="19" customFormat="false" ht="15" hidden="false" customHeight="false" outlineLevel="0" collapsed="false">
      <c r="A19" s="23" t="s">
        <v>95</v>
      </c>
      <c r="B19" s="31" t="n">
        <v>30</v>
      </c>
      <c r="C19" s="25" t="s">
        <v>96</v>
      </c>
    </row>
    <row r="20" customFormat="false" ht="15" hidden="false" customHeight="false" outlineLevel="0" collapsed="false">
      <c r="A20" s="23" t="s">
        <v>97</v>
      </c>
      <c r="B20" s="24" t="n">
        <v>0.15</v>
      </c>
      <c r="C20" s="25" t="s">
        <v>98</v>
      </c>
    </row>
    <row r="21" customFormat="false" ht="15" hidden="false" customHeight="false" outlineLevel="0" collapsed="false">
      <c r="A21" s="23" t="s">
        <v>99</v>
      </c>
      <c r="B21" s="24" t="n">
        <v>0.08</v>
      </c>
      <c r="C21" s="25" t="s">
        <v>100</v>
      </c>
    </row>
    <row r="22" customFormat="false" ht="15" hidden="false" customHeight="false" outlineLevel="0" collapsed="false">
      <c r="A22" s="3" t="s">
        <v>101</v>
      </c>
      <c r="B22" s="4"/>
      <c r="C22" s="4"/>
    </row>
    <row r="23" customFormat="false" ht="15" hidden="false" customHeight="false" outlineLevel="0" collapsed="false">
      <c r="A23" s="23" t="s">
        <v>102</v>
      </c>
      <c r="B23" s="28" t="n">
        <v>42000</v>
      </c>
      <c r="C23" s="25" t="s">
        <v>103</v>
      </c>
    </row>
    <row r="24" customFormat="false" ht="15" hidden="false" customHeight="false" outlineLevel="0" collapsed="false">
      <c r="A24" s="23" t="s">
        <v>104</v>
      </c>
      <c r="B24" s="32" t="n">
        <v>8000</v>
      </c>
      <c r="C24" s="25" t="s">
        <v>105</v>
      </c>
    </row>
    <row r="25" customFormat="false" ht="15" hidden="false" customHeight="false" outlineLevel="0" collapsed="false">
      <c r="A25" s="23" t="s">
        <v>106</v>
      </c>
      <c r="B25" s="24" t="n">
        <v>0.028</v>
      </c>
      <c r="C25" s="25" t="s">
        <v>107</v>
      </c>
    </row>
    <row r="26" customFormat="false" ht="15" hidden="false" customHeight="false" outlineLevel="0" collapsed="false">
      <c r="A26" s="23" t="s">
        <v>108</v>
      </c>
      <c r="B26" s="24" t="n">
        <v>0.038</v>
      </c>
      <c r="C26" s="25" t="s">
        <v>109</v>
      </c>
    </row>
    <row r="27" customFormat="false" ht="15" hidden="false" customHeight="false" outlineLevel="0" collapsed="false">
      <c r="A27" s="3" t="s">
        <v>110</v>
      </c>
      <c r="B27" s="4"/>
      <c r="C27" s="4"/>
    </row>
    <row r="28" customFormat="false" ht="15" hidden="false" customHeight="false" outlineLevel="0" collapsed="false">
      <c r="A28" s="23" t="s">
        <v>111</v>
      </c>
      <c r="B28" s="28" t="n">
        <v>3000000</v>
      </c>
      <c r="C28" s="25" t="s">
        <v>112</v>
      </c>
    </row>
    <row r="29" customFormat="false" ht="22.35" hidden="false" customHeight="false" outlineLevel="0" collapsed="false">
      <c r="A29" s="23" t="s">
        <v>113</v>
      </c>
      <c r="B29" s="32" t="n">
        <v>328000</v>
      </c>
      <c r="C29" s="25" t="s">
        <v>114</v>
      </c>
    </row>
    <row r="30" customFormat="false" ht="15" hidden="false" customHeight="false" outlineLevel="0" collapsed="false">
      <c r="A30" s="23" t="s">
        <v>115</v>
      </c>
      <c r="B30" s="32" t="n">
        <v>26000</v>
      </c>
      <c r="C30" s="25" t="s">
        <v>116</v>
      </c>
    </row>
    <row r="31" customFormat="false" ht="15" hidden="false" customHeight="false" outlineLevel="0" collapsed="false">
      <c r="A31" s="23" t="s">
        <v>117</v>
      </c>
      <c r="B31" s="32" t="n">
        <v>120000</v>
      </c>
      <c r="C31" s="25" t="s">
        <v>118</v>
      </c>
    </row>
    <row r="32" customFormat="false" ht="15" hidden="false" customHeight="false" outlineLevel="0" collapsed="false">
      <c r="A32" s="23" t="s">
        <v>119</v>
      </c>
      <c r="B32" s="32" t="n">
        <v>190000</v>
      </c>
      <c r="C32" s="25" t="s">
        <v>120</v>
      </c>
    </row>
    <row r="33" customFormat="false" ht="15" hidden="false" customHeight="false" outlineLevel="0" collapsed="false">
      <c r="A33" s="23" t="s">
        <v>121</v>
      </c>
      <c r="B33" s="32" t="n">
        <v>48000</v>
      </c>
      <c r="C33" s="25" t="s">
        <v>122</v>
      </c>
    </row>
    <row r="34" customFormat="false" ht="15" hidden="false" customHeight="false" outlineLevel="0" collapsed="false">
      <c r="A34" s="23" t="s">
        <v>123</v>
      </c>
      <c r="B34" s="32" t="n">
        <v>560000</v>
      </c>
      <c r="C34" s="25" t="s">
        <v>124</v>
      </c>
    </row>
    <row r="35" customFormat="false" ht="15" hidden="false" customHeight="false" outlineLevel="0" collapsed="false">
      <c r="A35" s="23" t="s">
        <v>125</v>
      </c>
      <c r="B35" s="32" t="n">
        <v>12000000</v>
      </c>
      <c r="C35" s="25" t="s">
        <v>126</v>
      </c>
    </row>
    <row r="36" customFormat="false" ht="15" hidden="false" customHeight="false" outlineLevel="0" collapsed="false">
      <c r="A36" s="23" t="s">
        <v>127</v>
      </c>
      <c r="B36" s="32" t="n">
        <v>-9324000</v>
      </c>
      <c r="C36" s="25" t="s">
        <v>128</v>
      </c>
    </row>
    <row r="37" customFormat="false" ht="15" hidden="false" customHeight="false" outlineLevel="0" collapsed="false">
      <c r="A37" s="23" t="s">
        <v>129</v>
      </c>
      <c r="B37" s="33" t="n">
        <f aca="false">(B28+B29+B30+B31)-(B32+B33+B34+B35+B36)</f>
        <v>0</v>
      </c>
      <c r="C37" s="25" t="s">
        <v>130</v>
      </c>
    </row>
    <row r="38" customFormat="false" ht="15" hidden="false" customHeight="false" outlineLevel="0" collapsed="false">
      <c r="A38" s="3" t="s">
        <v>131</v>
      </c>
      <c r="B38" s="4"/>
      <c r="C38" s="4"/>
    </row>
    <row r="39" customFormat="false" ht="22.35" hidden="false" customHeight="false" outlineLevel="0" collapsed="false">
      <c r="A39" s="23" t="s">
        <v>132</v>
      </c>
      <c r="B39" s="28" t="n">
        <v>0</v>
      </c>
      <c r="C39" s="25" t="s">
        <v>133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6" ySplit="5" topLeftCell="G6" activePane="bottomRight" state="frozen"/>
      <selection pane="topLeft" activeCell="A1" activeCellId="0" sqref="A1"/>
      <selection pane="topRight" activeCell="G1" activeCellId="0" sqref="G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0"/>
    <col collapsed="false" customWidth="true" hidden="false" outlineLevel="0" max="4" min="4" style="0" width="9"/>
    <col collapsed="false" customWidth="true" hidden="false" outlineLevel="0" max="5" min="5" style="0" width="15"/>
    <col collapsed="false" customWidth="true" hidden="false" outlineLevel="0" max="6" min="6" style="0" width="9"/>
    <col collapsed="false" customWidth="true" hidden="false" outlineLevel="0" max="19" min="7" style="0" width="11"/>
  </cols>
  <sheetData>
    <row r="1" customFormat="false" ht="17.35" hidden="false" customHeight="false" outlineLevel="0" collapsed="false">
      <c r="A1" s="14" t="s">
        <v>134</v>
      </c>
    </row>
    <row r="2" customFormat="false" ht="15" hidden="false" customHeight="false" outlineLevel="0" collapsed="false">
      <c r="A2" s="21" t="s">
        <v>135</v>
      </c>
    </row>
    <row r="4" customFormat="false" ht="30" hidden="false" customHeight="true" outlineLevel="0" collapsed="false">
      <c r="A4" s="34" t="s">
        <v>136</v>
      </c>
      <c r="B4" s="34" t="s">
        <v>137</v>
      </c>
      <c r="C4" s="34" t="s">
        <v>138</v>
      </c>
      <c r="D4" s="34" t="s">
        <v>139</v>
      </c>
      <c r="E4" s="34" t="s">
        <v>140</v>
      </c>
      <c r="F4" s="34" t="s">
        <v>141</v>
      </c>
      <c r="G4" s="35" t="s">
        <v>142</v>
      </c>
      <c r="H4" s="35" t="s">
        <v>143</v>
      </c>
      <c r="I4" s="35" t="s">
        <v>144</v>
      </c>
      <c r="J4" s="35" t="s">
        <v>145</v>
      </c>
      <c r="K4" s="35" t="s">
        <v>146</v>
      </c>
      <c r="L4" s="35" t="s">
        <v>147</v>
      </c>
      <c r="M4" s="35" t="s">
        <v>148</v>
      </c>
      <c r="N4" s="35" t="s">
        <v>149</v>
      </c>
      <c r="O4" s="35" t="s">
        <v>150</v>
      </c>
      <c r="P4" s="35" t="s">
        <v>151</v>
      </c>
      <c r="Q4" s="35" t="s">
        <v>152</v>
      </c>
      <c r="R4" s="35" t="s">
        <v>153</v>
      </c>
      <c r="S4" s="35" t="s">
        <v>154</v>
      </c>
    </row>
    <row r="5" customFormat="false" ht="15" hidden="false" customHeight="false" outlineLevel="0" collapsed="false">
      <c r="F5" s="15" t="s">
        <v>155</v>
      </c>
      <c r="G5" s="36" t="n">
        <v>1</v>
      </c>
      <c r="H5" s="36" t="n">
        <v>2</v>
      </c>
      <c r="I5" s="36" t="n">
        <v>3</v>
      </c>
      <c r="J5" s="36" t="n">
        <v>4</v>
      </c>
      <c r="K5" s="36" t="n">
        <v>5</v>
      </c>
      <c r="L5" s="36" t="n">
        <v>6</v>
      </c>
      <c r="M5" s="36" t="n">
        <v>7</v>
      </c>
      <c r="N5" s="36" t="n">
        <v>8</v>
      </c>
      <c r="O5" s="36" t="n">
        <v>9</v>
      </c>
      <c r="P5" s="36" t="n">
        <v>10</v>
      </c>
      <c r="Q5" s="36" t="n">
        <v>11</v>
      </c>
      <c r="R5" s="36" t="n">
        <v>12</v>
      </c>
    </row>
    <row r="6" customFormat="false" ht="15" hidden="false" customHeight="false" outlineLevel="0" collapsed="false">
      <c r="A6" s="37" t="s">
        <v>156</v>
      </c>
      <c r="B6" s="37" t="s">
        <v>157</v>
      </c>
      <c r="C6" s="38" t="n">
        <v>0</v>
      </c>
      <c r="D6" s="38" t="n">
        <v>99</v>
      </c>
      <c r="E6" s="32" t="n">
        <v>210000</v>
      </c>
      <c r="F6" s="24" t="n">
        <v>0.1</v>
      </c>
      <c r="G6" s="39" t="n">
        <f aca="false">IF(AND(G$5&gt;=$C6,G$5&lt;=$D6),($E6/12)*(1+$F6)*(1+Assumptions!$B$9)+Assumptions!$B$10,0)</f>
        <v>22507.875</v>
      </c>
      <c r="H6" s="39" t="n">
        <f aca="false">IF(AND(H$5&gt;=$C6,H$5&lt;=$D6),($E6/12)*(1+$F6)*(1+Assumptions!$B$9)+Assumptions!$B$10,0)</f>
        <v>22507.875</v>
      </c>
      <c r="I6" s="39" t="n">
        <f aca="false">IF(AND(I$5&gt;=$C6,I$5&lt;=$D6),($E6/12)*(1+$F6)*(1+Assumptions!$B$9)+Assumptions!$B$10,0)</f>
        <v>22507.875</v>
      </c>
      <c r="J6" s="39" t="n">
        <f aca="false">IF(AND(J$5&gt;=$C6,J$5&lt;=$D6),($E6/12)*(1+$F6)*(1+Assumptions!$B$9)+Assumptions!$B$10,0)</f>
        <v>22507.875</v>
      </c>
      <c r="K6" s="39" t="n">
        <f aca="false">IF(AND(K$5&gt;=$C6,K$5&lt;=$D6),($E6/12)*(1+$F6)*(1+Assumptions!$B$9)+Assumptions!$B$10,0)</f>
        <v>22507.875</v>
      </c>
      <c r="L6" s="39" t="n">
        <f aca="false">IF(AND(L$5&gt;=$C6,L$5&lt;=$D6),($E6/12)*(1+$F6)*(1+Assumptions!$B$9)+Assumptions!$B$10,0)</f>
        <v>22507.875</v>
      </c>
      <c r="M6" s="39" t="n">
        <f aca="false">IF(AND(M$5&gt;=$C6,M$5&lt;=$D6),($E6/12)*(1+$F6)*(1+Assumptions!$B$9)+Assumptions!$B$10,0)</f>
        <v>22507.875</v>
      </c>
      <c r="N6" s="39" t="n">
        <f aca="false">IF(AND(N$5&gt;=$C6,N$5&lt;=$D6),($E6/12)*(1+$F6)*(1+Assumptions!$B$9)+Assumptions!$B$10,0)</f>
        <v>22507.875</v>
      </c>
      <c r="O6" s="39" t="n">
        <f aca="false">IF(AND(O$5&gt;=$C6,O$5&lt;=$D6),($E6/12)*(1+$F6)*(1+Assumptions!$B$9)+Assumptions!$B$10,0)</f>
        <v>22507.875</v>
      </c>
      <c r="P6" s="39" t="n">
        <f aca="false">IF(AND(P$5&gt;=$C6,P$5&lt;=$D6),($E6/12)*(1+$F6)*(1+Assumptions!$B$9)+Assumptions!$B$10,0)</f>
        <v>22507.875</v>
      </c>
      <c r="Q6" s="39" t="n">
        <f aca="false">IF(AND(Q$5&gt;=$C6,Q$5&lt;=$D6),($E6/12)*(1+$F6)*(1+Assumptions!$B$9)+Assumptions!$B$10,0)</f>
        <v>22507.875</v>
      </c>
      <c r="R6" s="39" t="n">
        <f aca="false">IF(AND(R$5&gt;=$C6,R$5&lt;=$D6),($E6/12)*(1+$F6)*(1+Assumptions!$B$9)+Assumptions!$B$10,0)</f>
        <v>22507.875</v>
      </c>
    </row>
    <row r="7" customFormat="false" ht="15" hidden="false" customHeight="false" outlineLevel="0" collapsed="false">
      <c r="A7" s="37" t="s">
        <v>156</v>
      </c>
      <c r="B7" s="37" t="s">
        <v>158</v>
      </c>
      <c r="C7" s="38" t="n">
        <v>0</v>
      </c>
      <c r="D7" s="38" t="n">
        <v>99</v>
      </c>
      <c r="E7" s="32" t="n">
        <v>185000</v>
      </c>
      <c r="F7" s="24" t="n">
        <v>0.1</v>
      </c>
      <c r="G7" s="39" t="n">
        <f aca="false">IF(AND(G$5&gt;=$C7,G$5&lt;=$D7),($E7/12)*(1+$F7)*(1+Assumptions!$B$9)+Assumptions!$B$10,0)</f>
        <v>19965.2708333333</v>
      </c>
      <c r="H7" s="39" t="n">
        <f aca="false">IF(AND(H$5&gt;=$C7,H$5&lt;=$D7),($E7/12)*(1+$F7)*(1+Assumptions!$B$9)+Assumptions!$B$10,0)</f>
        <v>19965.2708333333</v>
      </c>
      <c r="I7" s="39" t="n">
        <f aca="false">IF(AND(I$5&gt;=$C7,I$5&lt;=$D7),($E7/12)*(1+$F7)*(1+Assumptions!$B$9)+Assumptions!$B$10,0)</f>
        <v>19965.2708333333</v>
      </c>
      <c r="J7" s="39" t="n">
        <f aca="false">IF(AND(J$5&gt;=$C7,J$5&lt;=$D7),($E7/12)*(1+$F7)*(1+Assumptions!$B$9)+Assumptions!$B$10,0)</f>
        <v>19965.2708333333</v>
      </c>
      <c r="K7" s="39" t="n">
        <f aca="false">IF(AND(K$5&gt;=$C7,K$5&lt;=$D7),($E7/12)*(1+$F7)*(1+Assumptions!$B$9)+Assumptions!$B$10,0)</f>
        <v>19965.2708333333</v>
      </c>
      <c r="L7" s="39" t="n">
        <f aca="false">IF(AND(L$5&gt;=$C7,L$5&lt;=$D7),($E7/12)*(1+$F7)*(1+Assumptions!$B$9)+Assumptions!$B$10,0)</f>
        <v>19965.2708333333</v>
      </c>
      <c r="M7" s="39" t="n">
        <f aca="false">IF(AND(M$5&gt;=$C7,M$5&lt;=$D7),($E7/12)*(1+$F7)*(1+Assumptions!$B$9)+Assumptions!$B$10,0)</f>
        <v>19965.2708333333</v>
      </c>
      <c r="N7" s="39" t="n">
        <f aca="false">IF(AND(N$5&gt;=$C7,N$5&lt;=$D7),($E7/12)*(1+$F7)*(1+Assumptions!$B$9)+Assumptions!$B$10,0)</f>
        <v>19965.2708333333</v>
      </c>
      <c r="O7" s="39" t="n">
        <f aca="false">IF(AND(O$5&gt;=$C7,O$5&lt;=$D7),($E7/12)*(1+$F7)*(1+Assumptions!$B$9)+Assumptions!$B$10,0)</f>
        <v>19965.2708333333</v>
      </c>
      <c r="P7" s="39" t="n">
        <f aca="false">IF(AND(P$5&gt;=$C7,P$5&lt;=$D7),($E7/12)*(1+$F7)*(1+Assumptions!$B$9)+Assumptions!$B$10,0)</f>
        <v>19965.2708333333</v>
      </c>
      <c r="Q7" s="39" t="n">
        <f aca="false">IF(AND(Q$5&gt;=$C7,Q$5&lt;=$D7),($E7/12)*(1+$F7)*(1+Assumptions!$B$9)+Assumptions!$B$10,0)</f>
        <v>19965.2708333333</v>
      </c>
      <c r="R7" s="39" t="n">
        <f aca="false">IF(AND(R$5&gt;=$C7,R$5&lt;=$D7),($E7/12)*(1+$F7)*(1+Assumptions!$B$9)+Assumptions!$B$10,0)</f>
        <v>19965.2708333333</v>
      </c>
    </row>
    <row r="8" customFormat="false" ht="15" hidden="false" customHeight="false" outlineLevel="0" collapsed="false">
      <c r="A8" s="37" t="s">
        <v>156</v>
      </c>
      <c r="B8" s="37" t="s">
        <v>159</v>
      </c>
      <c r="C8" s="38" t="n">
        <v>0</v>
      </c>
      <c r="D8" s="38" t="n">
        <v>99</v>
      </c>
      <c r="E8" s="32" t="n">
        <v>85000</v>
      </c>
      <c r="F8" s="24" t="n">
        <v>0.05</v>
      </c>
      <c r="G8" s="39" t="n">
        <f aca="false">IF(AND(G$5&gt;=$C8,G$5&lt;=$D8),($E8/12)*(1+$F8)*(1+Assumptions!$B$9)+Assumptions!$B$10,0)</f>
        <v>9401.90625</v>
      </c>
      <c r="H8" s="39" t="n">
        <f aca="false">IF(AND(H$5&gt;=$C8,H$5&lt;=$D8),($E8/12)*(1+$F8)*(1+Assumptions!$B$9)+Assumptions!$B$10,0)</f>
        <v>9401.90625</v>
      </c>
      <c r="I8" s="39" t="n">
        <f aca="false">IF(AND(I$5&gt;=$C8,I$5&lt;=$D8),($E8/12)*(1+$F8)*(1+Assumptions!$B$9)+Assumptions!$B$10,0)</f>
        <v>9401.90625</v>
      </c>
      <c r="J8" s="39" t="n">
        <f aca="false">IF(AND(J$5&gt;=$C8,J$5&lt;=$D8),($E8/12)*(1+$F8)*(1+Assumptions!$B$9)+Assumptions!$B$10,0)</f>
        <v>9401.90625</v>
      </c>
      <c r="K8" s="39" t="n">
        <f aca="false">IF(AND(K$5&gt;=$C8,K$5&lt;=$D8),($E8/12)*(1+$F8)*(1+Assumptions!$B$9)+Assumptions!$B$10,0)</f>
        <v>9401.90625</v>
      </c>
      <c r="L8" s="39" t="n">
        <f aca="false">IF(AND(L$5&gt;=$C8,L$5&lt;=$D8),($E8/12)*(1+$F8)*(1+Assumptions!$B$9)+Assumptions!$B$10,0)</f>
        <v>9401.90625</v>
      </c>
      <c r="M8" s="39" t="n">
        <f aca="false">IF(AND(M$5&gt;=$C8,M$5&lt;=$D8),($E8/12)*(1+$F8)*(1+Assumptions!$B$9)+Assumptions!$B$10,0)</f>
        <v>9401.90625</v>
      </c>
      <c r="N8" s="39" t="n">
        <f aca="false">IF(AND(N$5&gt;=$C8,N$5&lt;=$D8),($E8/12)*(1+$F8)*(1+Assumptions!$B$9)+Assumptions!$B$10,0)</f>
        <v>9401.90625</v>
      </c>
      <c r="O8" s="39" t="n">
        <f aca="false">IF(AND(O$5&gt;=$C8,O$5&lt;=$D8),($E8/12)*(1+$F8)*(1+Assumptions!$B$9)+Assumptions!$B$10,0)</f>
        <v>9401.90625</v>
      </c>
      <c r="P8" s="39" t="n">
        <f aca="false">IF(AND(P$5&gt;=$C8,P$5&lt;=$D8),($E8/12)*(1+$F8)*(1+Assumptions!$B$9)+Assumptions!$B$10,0)</f>
        <v>9401.90625</v>
      </c>
      <c r="Q8" s="39" t="n">
        <f aca="false">IF(AND(Q$5&gt;=$C8,Q$5&lt;=$D8),($E8/12)*(1+$F8)*(1+Assumptions!$B$9)+Assumptions!$B$10,0)</f>
        <v>9401.90625</v>
      </c>
      <c r="R8" s="39" t="n">
        <f aca="false">IF(AND(R$5&gt;=$C8,R$5&lt;=$D8),($E8/12)*(1+$F8)*(1+Assumptions!$B$9)+Assumptions!$B$10,0)</f>
        <v>9401.90625</v>
      </c>
    </row>
    <row r="9" customFormat="false" ht="15" hidden="false" customHeight="false" outlineLevel="0" collapsed="false">
      <c r="A9" s="37" t="s">
        <v>156</v>
      </c>
      <c r="B9" s="37" t="s">
        <v>160</v>
      </c>
      <c r="C9" s="38" t="n">
        <v>4</v>
      </c>
      <c r="D9" s="38" t="n">
        <v>99</v>
      </c>
      <c r="E9" s="32" t="n">
        <v>165000</v>
      </c>
      <c r="F9" s="24" t="n">
        <v>0.08</v>
      </c>
      <c r="G9" s="39" t="n">
        <f aca="false">IF(AND(G$5&gt;=$C9,G$5&lt;=$D9),($E9/12)*(1+$F9)*(1+Assumptions!$B$9)+Assumptions!$B$10,0)</f>
        <v>0</v>
      </c>
      <c r="H9" s="39" t="n">
        <f aca="false">IF(AND(H$5&gt;=$C9,H$5&lt;=$D9),($E9/12)*(1+$F9)*(1+Assumptions!$B$9)+Assumptions!$B$10,0)</f>
        <v>0</v>
      </c>
      <c r="I9" s="39" t="n">
        <f aca="false">IF(AND(I$5&gt;=$C9,I$5&lt;=$D9),($E9/12)*(1+$F9)*(1+Assumptions!$B$9)+Assumptions!$B$10,0)</f>
        <v>0</v>
      </c>
      <c r="J9" s="39" t="n">
        <f aca="false">IF(AND(J$5&gt;=$C9,J$5&lt;=$D9),($E9/12)*(1+$F9)*(1+Assumptions!$B$9)+Assumptions!$B$10,0)</f>
        <v>17626.075</v>
      </c>
      <c r="K9" s="39" t="n">
        <f aca="false">IF(AND(K$5&gt;=$C9,K$5&lt;=$D9),($E9/12)*(1+$F9)*(1+Assumptions!$B$9)+Assumptions!$B$10,0)</f>
        <v>17626.075</v>
      </c>
      <c r="L9" s="39" t="n">
        <f aca="false">IF(AND(L$5&gt;=$C9,L$5&lt;=$D9),($E9/12)*(1+$F9)*(1+Assumptions!$B$9)+Assumptions!$B$10,0)</f>
        <v>17626.075</v>
      </c>
      <c r="M9" s="39" t="n">
        <f aca="false">IF(AND(M$5&gt;=$C9,M$5&lt;=$D9),($E9/12)*(1+$F9)*(1+Assumptions!$B$9)+Assumptions!$B$10,0)</f>
        <v>17626.075</v>
      </c>
      <c r="N9" s="39" t="n">
        <f aca="false">IF(AND(N$5&gt;=$C9,N$5&lt;=$D9),($E9/12)*(1+$F9)*(1+Assumptions!$B$9)+Assumptions!$B$10,0)</f>
        <v>17626.075</v>
      </c>
      <c r="O9" s="39" t="n">
        <f aca="false">IF(AND(O$5&gt;=$C9,O$5&lt;=$D9),($E9/12)*(1+$F9)*(1+Assumptions!$B$9)+Assumptions!$B$10,0)</f>
        <v>17626.075</v>
      </c>
      <c r="P9" s="39" t="n">
        <f aca="false">IF(AND(P$5&gt;=$C9,P$5&lt;=$D9),($E9/12)*(1+$F9)*(1+Assumptions!$B$9)+Assumptions!$B$10,0)</f>
        <v>17626.075</v>
      </c>
      <c r="Q9" s="39" t="n">
        <f aca="false">IF(AND(Q$5&gt;=$C9,Q$5&lt;=$D9),($E9/12)*(1+$F9)*(1+Assumptions!$B$9)+Assumptions!$B$10,0)</f>
        <v>17626.075</v>
      </c>
      <c r="R9" s="39" t="n">
        <f aca="false">IF(AND(R$5&gt;=$C9,R$5&lt;=$D9),($E9/12)*(1+$F9)*(1+Assumptions!$B$9)+Assumptions!$B$10,0)</f>
        <v>17626.075</v>
      </c>
    </row>
    <row r="10" customFormat="false" ht="15" hidden="false" customHeight="false" outlineLevel="0" collapsed="false">
      <c r="A10" s="37" t="s">
        <v>161</v>
      </c>
      <c r="B10" s="37" t="s">
        <v>162</v>
      </c>
      <c r="C10" s="38" t="n">
        <v>0</v>
      </c>
      <c r="D10" s="38" t="n">
        <v>99</v>
      </c>
      <c r="E10" s="32" t="n">
        <v>230000</v>
      </c>
      <c r="F10" s="24" t="n">
        <v>0.1</v>
      </c>
      <c r="G10" s="39" t="n">
        <f aca="false">IF(AND(G$5&gt;=$C10,G$5&lt;=$D10),($E10/12)*(1+$F10)*(1+Assumptions!$B$9)+Assumptions!$B$10,0)</f>
        <v>24541.9583333333</v>
      </c>
      <c r="H10" s="39" t="n">
        <f aca="false">IF(AND(H$5&gt;=$C10,H$5&lt;=$D10),($E10/12)*(1+$F10)*(1+Assumptions!$B$9)+Assumptions!$B$10,0)</f>
        <v>24541.9583333333</v>
      </c>
      <c r="I10" s="39" t="n">
        <f aca="false">IF(AND(I$5&gt;=$C10,I$5&lt;=$D10),($E10/12)*(1+$F10)*(1+Assumptions!$B$9)+Assumptions!$B$10,0)</f>
        <v>24541.9583333333</v>
      </c>
      <c r="J10" s="39" t="n">
        <f aca="false">IF(AND(J$5&gt;=$C10,J$5&lt;=$D10),($E10/12)*(1+$F10)*(1+Assumptions!$B$9)+Assumptions!$B$10,0)</f>
        <v>24541.9583333333</v>
      </c>
      <c r="K10" s="39" t="n">
        <f aca="false">IF(AND(K$5&gt;=$C10,K$5&lt;=$D10),($E10/12)*(1+$F10)*(1+Assumptions!$B$9)+Assumptions!$B$10,0)</f>
        <v>24541.9583333333</v>
      </c>
      <c r="L10" s="39" t="n">
        <f aca="false">IF(AND(L$5&gt;=$C10,L$5&lt;=$D10),($E10/12)*(1+$F10)*(1+Assumptions!$B$9)+Assumptions!$B$10,0)</f>
        <v>24541.9583333333</v>
      </c>
      <c r="M10" s="39" t="n">
        <f aca="false">IF(AND(M$5&gt;=$C10,M$5&lt;=$D10),($E10/12)*(1+$F10)*(1+Assumptions!$B$9)+Assumptions!$B$10,0)</f>
        <v>24541.9583333333</v>
      </c>
      <c r="N10" s="39" t="n">
        <f aca="false">IF(AND(N$5&gt;=$C10,N$5&lt;=$D10),($E10/12)*(1+$F10)*(1+Assumptions!$B$9)+Assumptions!$B$10,0)</f>
        <v>24541.9583333333</v>
      </c>
      <c r="O10" s="39" t="n">
        <f aca="false">IF(AND(O$5&gt;=$C10,O$5&lt;=$D10),($E10/12)*(1+$F10)*(1+Assumptions!$B$9)+Assumptions!$B$10,0)</f>
        <v>24541.9583333333</v>
      </c>
      <c r="P10" s="39" t="n">
        <f aca="false">IF(AND(P$5&gt;=$C10,P$5&lt;=$D10),($E10/12)*(1+$F10)*(1+Assumptions!$B$9)+Assumptions!$B$10,0)</f>
        <v>24541.9583333333</v>
      </c>
      <c r="Q10" s="39" t="n">
        <f aca="false">IF(AND(Q$5&gt;=$C10,Q$5&lt;=$D10),($E10/12)*(1+$F10)*(1+Assumptions!$B$9)+Assumptions!$B$10,0)</f>
        <v>24541.9583333333</v>
      </c>
      <c r="R10" s="39" t="n">
        <f aca="false">IF(AND(R$5&gt;=$C10,R$5&lt;=$D10),($E10/12)*(1+$F10)*(1+Assumptions!$B$9)+Assumptions!$B$10,0)</f>
        <v>24541.9583333333</v>
      </c>
    </row>
    <row r="11" customFormat="false" ht="15" hidden="false" customHeight="false" outlineLevel="0" collapsed="false">
      <c r="A11" s="37" t="s">
        <v>161</v>
      </c>
      <c r="B11" s="37" t="s">
        <v>163</v>
      </c>
      <c r="C11" s="38" t="n">
        <v>0</v>
      </c>
      <c r="D11" s="38" t="n">
        <v>99</v>
      </c>
      <c r="E11" s="32" t="n">
        <v>185000</v>
      </c>
      <c r="F11" s="24" t="n">
        <v>0.08</v>
      </c>
      <c r="G11" s="39" t="n">
        <f aca="false">IF(AND(G$5&gt;=$C11,G$5&lt;=$D11),($E11/12)*(1+$F11)*(1+Assumptions!$B$9)+Assumptions!$B$10,0)</f>
        <v>19623.175</v>
      </c>
      <c r="H11" s="39" t="n">
        <f aca="false">IF(AND(H$5&gt;=$C11,H$5&lt;=$D11),($E11/12)*(1+$F11)*(1+Assumptions!$B$9)+Assumptions!$B$10,0)</f>
        <v>19623.175</v>
      </c>
      <c r="I11" s="39" t="n">
        <f aca="false">IF(AND(I$5&gt;=$C11,I$5&lt;=$D11),($E11/12)*(1+$F11)*(1+Assumptions!$B$9)+Assumptions!$B$10,0)</f>
        <v>19623.175</v>
      </c>
      <c r="J11" s="39" t="n">
        <f aca="false">IF(AND(J$5&gt;=$C11,J$5&lt;=$D11),($E11/12)*(1+$F11)*(1+Assumptions!$B$9)+Assumptions!$B$10,0)</f>
        <v>19623.175</v>
      </c>
      <c r="K11" s="39" t="n">
        <f aca="false">IF(AND(K$5&gt;=$C11,K$5&lt;=$D11),($E11/12)*(1+$F11)*(1+Assumptions!$B$9)+Assumptions!$B$10,0)</f>
        <v>19623.175</v>
      </c>
      <c r="L11" s="39" t="n">
        <f aca="false">IF(AND(L$5&gt;=$C11,L$5&lt;=$D11),($E11/12)*(1+$F11)*(1+Assumptions!$B$9)+Assumptions!$B$10,0)</f>
        <v>19623.175</v>
      </c>
      <c r="M11" s="39" t="n">
        <f aca="false">IF(AND(M$5&gt;=$C11,M$5&lt;=$D11),($E11/12)*(1+$F11)*(1+Assumptions!$B$9)+Assumptions!$B$10,0)</f>
        <v>19623.175</v>
      </c>
      <c r="N11" s="39" t="n">
        <f aca="false">IF(AND(N$5&gt;=$C11,N$5&lt;=$D11),($E11/12)*(1+$F11)*(1+Assumptions!$B$9)+Assumptions!$B$10,0)</f>
        <v>19623.175</v>
      </c>
      <c r="O11" s="39" t="n">
        <f aca="false">IF(AND(O$5&gt;=$C11,O$5&lt;=$D11),($E11/12)*(1+$F11)*(1+Assumptions!$B$9)+Assumptions!$B$10,0)</f>
        <v>19623.175</v>
      </c>
      <c r="P11" s="39" t="n">
        <f aca="false">IF(AND(P$5&gt;=$C11,P$5&lt;=$D11),($E11/12)*(1+$F11)*(1+Assumptions!$B$9)+Assumptions!$B$10,0)</f>
        <v>19623.175</v>
      </c>
      <c r="Q11" s="39" t="n">
        <f aca="false">IF(AND(Q$5&gt;=$C11,Q$5&lt;=$D11),($E11/12)*(1+$F11)*(1+Assumptions!$B$9)+Assumptions!$B$10,0)</f>
        <v>19623.175</v>
      </c>
      <c r="R11" s="39" t="n">
        <f aca="false">IF(AND(R$5&gt;=$C11,R$5&lt;=$D11),($E11/12)*(1+$F11)*(1+Assumptions!$B$9)+Assumptions!$B$10,0)</f>
        <v>19623.175</v>
      </c>
    </row>
    <row r="12" customFormat="false" ht="15" hidden="false" customHeight="false" outlineLevel="0" collapsed="false">
      <c r="A12" s="37" t="s">
        <v>161</v>
      </c>
      <c r="B12" s="37" t="s">
        <v>163</v>
      </c>
      <c r="C12" s="38" t="n">
        <v>0</v>
      </c>
      <c r="D12" s="38" t="n">
        <v>99</v>
      </c>
      <c r="E12" s="32" t="n">
        <v>180000</v>
      </c>
      <c r="F12" s="24" t="n">
        <v>0.08</v>
      </c>
      <c r="G12" s="39" t="n">
        <f aca="false">IF(AND(G$5&gt;=$C12,G$5&lt;=$D12),($E12/12)*(1+$F12)*(1+Assumptions!$B$9)+Assumptions!$B$10,0)</f>
        <v>19123.9</v>
      </c>
      <c r="H12" s="39" t="n">
        <f aca="false">IF(AND(H$5&gt;=$C12,H$5&lt;=$D12),($E12/12)*(1+$F12)*(1+Assumptions!$B$9)+Assumptions!$B$10,0)</f>
        <v>19123.9</v>
      </c>
      <c r="I12" s="39" t="n">
        <f aca="false">IF(AND(I$5&gt;=$C12,I$5&lt;=$D12),($E12/12)*(1+$F12)*(1+Assumptions!$B$9)+Assumptions!$B$10,0)</f>
        <v>19123.9</v>
      </c>
      <c r="J12" s="39" t="n">
        <f aca="false">IF(AND(J$5&gt;=$C12,J$5&lt;=$D12),($E12/12)*(1+$F12)*(1+Assumptions!$B$9)+Assumptions!$B$10,0)</f>
        <v>19123.9</v>
      </c>
      <c r="K12" s="39" t="n">
        <f aca="false">IF(AND(K$5&gt;=$C12,K$5&lt;=$D12),($E12/12)*(1+$F12)*(1+Assumptions!$B$9)+Assumptions!$B$10,0)</f>
        <v>19123.9</v>
      </c>
      <c r="L12" s="39" t="n">
        <f aca="false">IF(AND(L$5&gt;=$C12,L$5&lt;=$D12),($E12/12)*(1+$F12)*(1+Assumptions!$B$9)+Assumptions!$B$10,0)</f>
        <v>19123.9</v>
      </c>
      <c r="M12" s="39" t="n">
        <f aca="false">IF(AND(M$5&gt;=$C12,M$5&lt;=$D12),($E12/12)*(1+$F12)*(1+Assumptions!$B$9)+Assumptions!$B$10,0)</f>
        <v>19123.9</v>
      </c>
      <c r="N12" s="39" t="n">
        <f aca="false">IF(AND(N$5&gt;=$C12,N$5&lt;=$D12),($E12/12)*(1+$F12)*(1+Assumptions!$B$9)+Assumptions!$B$10,0)</f>
        <v>19123.9</v>
      </c>
      <c r="O12" s="39" t="n">
        <f aca="false">IF(AND(O$5&gt;=$C12,O$5&lt;=$D12),($E12/12)*(1+$F12)*(1+Assumptions!$B$9)+Assumptions!$B$10,0)</f>
        <v>19123.9</v>
      </c>
      <c r="P12" s="39" t="n">
        <f aca="false">IF(AND(P$5&gt;=$C12,P$5&lt;=$D12),($E12/12)*(1+$F12)*(1+Assumptions!$B$9)+Assumptions!$B$10,0)</f>
        <v>19123.9</v>
      </c>
      <c r="Q12" s="39" t="n">
        <f aca="false">IF(AND(Q$5&gt;=$C12,Q$5&lt;=$D12),($E12/12)*(1+$F12)*(1+Assumptions!$B$9)+Assumptions!$B$10,0)</f>
        <v>19123.9</v>
      </c>
      <c r="R12" s="39" t="n">
        <f aca="false">IF(AND(R$5&gt;=$C12,R$5&lt;=$D12),($E12/12)*(1+$F12)*(1+Assumptions!$B$9)+Assumptions!$B$10,0)</f>
        <v>19123.9</v>
      </c>
    </row>
    <row r="13" customFormat="false" ht="15" hidden="false" customHeight="false" outlineLevel="0" collapsed="false">
      <c r="A13" s="37" t="s">
        <v>161</v>
      </c>
      <c r="B13" s="37" t="s">
        <v>164</v>
      </c>
      <c r="C13" s="38" t="n">
        <v>0</v>
      </c>
      <c r="D13" s="38" t="n">
        <v>99</v>
      </c>
      <c r="E13" s="32" t="n">
        <v>155000</v>
      </c>
      <c r="F13" s="24" t="n">
        <v>0.08</v>
      </c>
      <c r="G13" s="39" t="n">
        <f aca="false">IF(AND(G$5&gt;=$C13,G$5&lt;=$D13),($E13/12)*(1+$F13)*(1+Assumptions!$B$9)+Assumptions!$B$10,0)</f>
        <v>16627.525</v>
      </c>
      <c r="H13" s="39" t="n">
        <f aca="false">IF(AND(H$5&gt;=$C13,H$5&lt;=$D13),($E13/12)*(1+$F13)*(1+Assumptions!$B$9)+Assumptions!$B$10,0)</f>
        <v>16627.525</v>
      </c>
      <c r="I13" s="39" t="n">
        <f aca="false">IF(AND(I$5&gt;=$C13,I$5&lt;=$D13),($E13/12)*(1+$F13)*(1+Assumptions!$B$9)+Assumptions!$B$10,0)</f>
        <v>16627.525</v>
      </c>
      <c r="J13" s="39" t="n">
        <f aca="false">IF(AND(J$5&gt;=$C13,J$5&lt;=$D13),($E13/12)*(1+$F13)*(1+Assumptions!$B$9)+Assumptions!$B$10,0)</f>
        <v>16627.525</v>
      </c>
      <c r="K13" s="39" t="n">
        <f aca="false">IF(AND(K$5&gt;=$C13,K$5&lt;=$D13),($E13/12)*(1+$F13)*(1+Assumptions!$B$9)+Assumptions!$B$10,0)</f>
        <v>16627.525</v>
      </c>
      <c r="L13" s="39" t="n">
        <f aca="false">IF(AND(L$5&gt;=$C13,L$5&lt;=$D13),($E13/12)*(1+$F13)*(1+Assumptions!$B$9)+Assumptions!$B$10,0)</f>
        <v>16627.525</v>
      </c>
      <c r="M13" s="39" t="n">
        <f aca="false">IF(AND(M$5&gt;=$C13,M$5&lt;=$D13),($E13/12)*(1+$F13)*(1+Assumptions!$B$9)+Assumptions!$B$10,0)</f>
        <v>16627.525</v>
      </c>
      <c r="N13" s="39" t="n">
        <f aca="false">IF(AND(N$5&gt;=$C13,N$5&lt;=$D13),($E13/12)*(1+$F13)*(1+Assumptions!$B$9)+Assumptions!$B$10,0)</f>
        <v>16627.525</v>
      </c>
      <c r="O13" s="39" t="n">
        <f aca="false">IF(AND(O$5&gt;=$C13,O$5&lt;=$D13),($E13/12)*(1+$F13)*(1+Assumptions!$B$9)+Assumptions!$B$10,0)</f>
        <v>16627.525</v>
      </c>
      <c r="P13" s="39" t="n">
        <f aca="false">IF(AND(P$5&gt;=$C13,P$5&lt;=$D13),($E13/12)*(1+$F13)*(1+Assumptions!$B$9)+Assumptions!$B$10,0)</f>
        <v>16627.525</v>
      </c>
      <c r="Q13" s="39" t="n">
        <f aca="false">IF(AND(Q$5&gt;=$C13,Q$5&lt;=$D13),($E13/12)*(1+$F13)*(1+Assumptions!$B$9)+Assumptions!$B$10,0)</f>
        <v>16627.525</v>
      </c>
      <c r="R13" s="39" t="n">
        <f aca="false">IF(AND(R$5&gt;=$C13,R$5&lt;=$D13),($E13/12)*(1+$F13)*(1+Assumptions!$B$9)+Assumptions!$B$10,0)</f>
        <v>16627.525</v>
      </c>
    </row>
    <row r="14" customFormat="false" ht="15" hidden="false" customHeight="false" outlineLevel="0" collapsed="false">
      <c r="A14" s="37" t="s">
        <v>161</v>
      </c>
      <c r="B14" s="37" t="s">
        <v>164</v>
      </c>
      <c r="C14" s="38" t="n">
        <v>3</v>
      </c>
      <c r="D14" s="38" t="n">
        <v>99</v>
      </c>
      <c r="E14" s="32" t="n">
        <v>150000</v>
      </c>
      <c r="F14" s="24" t="n">
        <v>0.08</v>
      </c>
      <c r="G14" s="39" t="n">
        <f aca="false">IF(AND(G$5&gt;=$C14,G$5&lt;=$D14),($E14/12)*(1+$F14)*(1+Assumptions!$B$9)+Assumptions!$B$10,0)</f>
        <v>0</v>
      </c>
      <c r="H14" s="39" t="n">
        <f aca="false">IF(AND(H$5&gt;=$C14,H$5&lt;=$D14),($E14/12)*(1+$F14)*(1+Assumptions!$B$9)+Assumptions!$B$10,0)</f>
        <v>0</v>
      </c>
      <c r="I14" s="39" t="n">
        <f aca="false">IF(AND(I$5&gt;=$C14,I$5&lt;=$D14),($E14/12)*(1+$F14)*(1+Assumptions!$B$9)+Assumptions!$B$10,0)</f>
        <v>16128.25</v>
      </c>
      <c r="J14" s="39" t="n">
        <f aca="false">IF(AND(J$5&gt;=$C14,J$5&lt;=$D14),($E14/12)*(1+$F14)*(1+Assumptions!$B$9)+Assumptions!$B$10,0)</f>
        <v>16128.25</v>
      </c>
      <c r="K14" s="39" t="n">
        <f aca="false">IF(AND(K$5&gt;=$C14,K$5&lt;=$D14),($E14/12)*(1+$F14)*(1+Assumptions!$B$9)+Assumptions!$B$10,0)</f>
        <v>16128.25</v>
      </c>
      <c r="L14" s="39" t="n">
        <f aca="false">IF(AND(L$5&gt;=$C14,L$5&lt;=$D14),($E14/12)*(1+$F14)*(1+Assumptions!$B$9)+Assumptions!$B$10,0)</f>
        <v>16128.25</v>
      </c>
      <c r="M14" s="39" t="n">
        <f aca="false">IF(AND(M$5&gt;=$C14,M$5&lt;=$D14),($E14/12)*(1+$F14)*(1+Assumptions!$B$9)+Assumptions!$B$10,0)</f>
        <v>16128.25</v>
      </c>
      <c r="N14" s="39" t="n">
        <f aca="false">IF(AND(N$5&gt;=$C14,N$5&lt;=$D14),($E14/12)*(1+$F14)*(1+Assumptions!$B$9)+Assumptions!$B$10,0)</f>
        <v>16128.25</v>
      </c>
      <c r="O14" s="39" t="n">
        <f aca="false">IF(AND(O$5&gt;=$C14,O$5&lt;=$D14),($E14/12)*(1+$F14)*(1+Assumptions!$B$9)+Assumptions!$B$10,0)</f>
        <v>16128.25</v>
      </c>
      <c r="P14" s="39" t="n">
        <f aca="false">IF(AND(P$5&gt;=$C14,P$5&lt;=$D14),($E14/12)*(1+$F14)*(1+Assumptions!$B$9)+Assumptions!$B$10,0)</f>
        <v>16128.25</v>
      </c>
      <c r="Q14" s="39" t="n">
        <f aca="false">IF(AND(Q$5&gt;=$C14,Q$5&lt;=$D14),($E14/12)*(1+$F14)*(1+Assumptions!$B$9)+Assumptions!$B$10,0)</f>
        <v>16128.25</v>
      </c>
      <c r="R14" s="39" t="n">
        <f aca="false">IF(AND(R$5&gt;=$C14,R$5&lt;=$D14),($E14/12)*(1+$F14)*(1+Assumptions!$B$9)+Assumptions!$B$10,0)</f>
        <v>16128.25</v>
      </c>
    </row>
    <row r="15" customFormat="false" ht="15" hidden="false" customHeight="false" outlineLevel="0" collapsed="false">
      <c r="A15" s="37" t="s">
        <v>161</v>
      </c>
      <c r="B15" s="37" t="s">
        <v>164</v>
      </c>
      <c r="C15" s="38" t="n">
        <v>7</v>
      </c>
      <c r="D15" s="38" t="n">
        <v>99</v>
      </c>
      <c r="E15" s="32" t="n">
        <v>150000</v>
      </c>
      <c r="F15" s="24" t="n">
        <v>0.08</v>
      </c>
      <c r="G15" s="39" t="n">
        <f aca="false">IF(AND(G$5&gt;=$C15,G$5&lt;=$D15),($E15/12)*(1+$F15)*(1+Assumptions!$B$9)+Assumptions!$B$10,0)</f>
        <v>0</v>
      </c>
      <c r="H15" s="39" t="n">
        <f aca="false">IF(AND(H$5&gt;=$C15,H$5&lt;=$D15),($E15/12)*(1+$F15)*(1+Assumptions!$B$9)+Assumptions!$B$10,0)</f>
        <v>0</v>
      </c>
      <c r="I15" s="39" t="n">
        <f aca="false">IF(AND(I$5&gt;=$C15,I$5&lt;=$D15),($E15/12)*(1+$F15)*(1+Assumptions!$B$9)+Assumptions!$B$10,0)</f>
        <v>0</v>
      </c>
      <c r="J15" s="39" t="n">
        <f aca="false">IF(AND(J$5&gt;=$C15,J$5&lt;=$D15),($E15/12)*(1+$F15)*(1+Assumptions!$B$9)+Assumptions!$B$10,0)</f>
        <v>0</v>
      </c>
      <c r="K15" s="39" t="n">
        <f aca="false">IF(AND(K$5&gt;=$C15,K$5&lt;=$D15),($E15/12)*(1+$F15)*(1+Assumptions!$B$9)+Assumptions!$B$10,0)</f>
        <v>0</v>
      </c>
      <c r="L15" s="39" t="n">
        <f aca="false">IF(AND(L$5&gt;=$C15,L$5&lt;=$D15),($E15/12)*(1+$F15)*(1+Assumptions!$B$9)+Assumptions!$B$10,0)</f>
        <v>0</v>
      </c>
      <c r="M15" s="39" t="n">
        <f aca="false">IF(AND(M$5&gt;=$C15,M$5&lt;=$D15),($E15/12)*(1+$F15)*(1+Assumptions!$B$9)+Assumptions!$B$10,0)</f>
        <v>16128.25</v>
      </c>
      <c r="N15" s="39" t="n">
        <f aca="false">IF(AND(N$5&gt;=$C15,N$5&lt;=$D15),($E15/12)*(1+$F15)*(1+Assumptions!$B$9)+Assumptions!$B$10,0)</f>
        <v>16128.25</v>
      </c>
      <c r="O15" s="39" t="n">
        <f aca="false">IF(AND(O$5&gt;=$C15,O$5&lt;=$D15),($E15/12)*(1+$F15)*(1+Assumptions!$B$9)+Assumptions!$B$10,0)</f>
        <v>16128.25</v>
      </c>
      <c r="P15" s="39" t="n">
        <f aca="false">IF(AND(P$5&gt;=$C15,P$5&lt;=$D15),($E15/12)*(1+$F15)*(1+Assumptions!$B$9)+Assumptions!$B$10,0)</f>
        <v>16128.25</v>
      </c>
      <c r="Q15" s="39" t="n">
        <f aca="false">IF(AND(Q$5&gt;=$C15,Q$5&lt;=$D15),($E15/12)*(1+$F15)*(1+Assumptions!$B$9)+Assumptions!$B$10,0)</f>
        <v>16128.25</v>
      </c>
      <c r="R15" s="39" t="n">
        <f aca="false">IF(AND(R$5&gt;=$C15,R$5&lt;=$D15),($E15/12)*(1+$F15)*(1+Assumptions!$B$9)+Assumptions!$B$10,0)</f>
        <v>16128.25</v>
      </c>
    </row>
    <row r="16" customFormat="false" ht="15" hidden="false" customHeight="false" outlineLevel="0" collapsed="false">
      <c r="A16" s="37" t="s">
        <v>161</v>
      </c>
      <c r="B16" s="37" t="s">
        <v>165</v>
      </c>
      <c r="C16" s="38" t="n">
        <v>2</v>
      </c>
      <c r="D16" s="38" t="n">
        <v>99</v>
      </c>
      <c r="E16" s="32" t="n">
        <v>165000</v>
      </c>
      <c r="F16" s="24" t="n">
        <v>0.08</v>
      </c>
      <c r="G16" s="39" t="n">
        <f aca="false">IF(AND(G$5&gt;=$C16,G$5&lt;=$D16),($E16/12)*(1+$F16)*(1+Assumptions!$B$9)+Assumptions!$B$10,0)</f>
        <v>0</v>
      </c>
      <c r="H16" s="39" t="n">
        <f aca="false">IF(AND(H$5&gt;=$C16,H$5&lt;=$D16),($E16/12)*(1+$F16)*(1+Assumptions!$B$9)+Assumptions!$B$10,0)</f>
        <v>17626.075</v>
      </c>
      <c r="I16" s="39" t="n">
        <f aca="false">IF(AND(I$5&gt;=$C16,I$5&lt;=$D16),($E16/12)*(1+$F16)*(1+Assumptions!$B$9)+Assumptions!$B$10,0)</f>
        <v>17626.075</v>
      </c>
      <c r="J16" s="39" t="n">
        <f aca="false">IF(AND(J$5&gt;=$C16,J$5&lt;=$D16),($E16/12)*(1+$F16)*(1+Assumptions!$B$9)+Assumptions!$B$10,0)</f>
        <v>17626.075</v>
      </c>
      <c r="K16" s="39" t="n">
        <f aca="false">IF(AND(K$5&gt;=$C16,K$5&lt;=$D16),($E16/12)*(1+$F16)*(1+Assumptions!$B$9)+Assumptions!$B$10,0)</f>
        <v>17626.075</v>
      </c>
      <c r="L16" s="39" t="n">
        <f aca="false">IF(AND(L$5&gt;=$C16,L$5&lt;=$D16),($E16/12)*(1+$F16)*(1+Assumptions!$B$9)+Assumptions!$B$10,0)</f>
        <v>17626.075</v>
      </c>
      <c r="M16" s="39" t="n">
        <f aca="false">IF(AND(M$5&gt;=$C16,M$5&lt;=$D16),($E16/12)*(1+$F16)*(1+Assumptions!$B$9)+Assumptions!$B$10,0)</f>
        <v>17626.075</v>
      </c>
      <c r="N16" s="39" t="n">
        <f aca="false">IF(AND(N$5&gt;=$C16,N$5&lt;=$D16),($E16/12)*(1+$F16)*(1+Assumptions!$B$9)+Assumptions!$B$10,0)</f>
        <v>17626.075</v>
      </c>
      <c r="O16" s="39" t="n">
        <f aca="false">IF(AND(O$5&gt;=$C16,O$5&lt;=$D16),($E16/12)*(1+$F16)*(1+Assumptions!$B$9)+Assumptions!$B$10,0)</f>
        <v>17626.075</v>
      </c>
      <c r="P16" s="39" t="n">
        <f aca="false">IF(AND(P$5&gt;=$C16,P$5&lt;=$D16),($E16/12)*(1+$F16)*(1+Assumptions!$B$9)+Assumptions!$B$10,0)</f>
        <v>17626.075</v>
      </c>
      <c r="Q16" s="39" t="n">
        <f aca="false">IF(AND(Q$5&gt;=$C16,Q$5&lt;=$D16),($E16/12)*(1+$F16)*(1+Assumptions!$B$9)+Assumptions!$B$10,0)</f>
        <v>17626.075</v>
      </c>
      <c r="R16" s="39" t="n">
        <f aca="false">IF(AND(R$5&gt;=$C16,R$5&lt;=$D16),($E16/12)*(1+$F16)*(1+Assumptions!$B$9)+Assumptions!$B$10,0)</f>
        <v>17626.075</v>
      </c>
    </row>
    <row r="17" customFormat="false" ht="15" hidden="false" customHeight="false" outlineLevel="0" collapsed="false">
      <c r="A17" s="37" t="s">
        <v>166</v>
      </c>
      <c r="B17" s="37" t="s">
        <v>167</v>
      </c>
      <c r="C17" s="38" t="n">
        <v>0</v>
      </c>
      <c r="D17" s="38" t="n">
        <v>99</v>
      </c>
      <c r="E17" s="32" t="n">
        <v>195000</v>
      </c>
      <c r="F17" s="24" t="n">
        <v>0.4</v>
      </c>
      <c r="G17" s="39" t="n">
        <f aca="false">IF(AND(G$5&gt;=$C17,G$5&lt;=$D17),($E17/12)*(1+$F17)*(1+Assumptions!$B$9)+Assumptions!$B$10,0)</f>
        <v>26391.125</v>
      </c>
      <c r="H17" s="39" t="n">
        <f aca="false">IF(AND(H$5&gt;=$C17,H$5&lt;=$D17),($E17/12)*(1+$F17)*(1+Assumptions!$B$9)+Assumptions!$B$10,0)</f>
        <v>26391.125</v>
      </c>
      <c r="I17" s="39" t="n">
        <f aca="false">IF(AND(I$5&gt;=$C17,I$5&lt;=$D17),($E17/12)*(1+$F17)*(1+Assumptions!$B$9)+Assumptions!$B$10,0)</f>
        <v>26391.125</v>
      </c>
      <c r="J17" s="39" t="n">
        <f aca="false">IF(AND(J$5&gt;=$C17,J$5&lt;=$D17),($E17/12)*(1+$F17)*(1+Assumptions!$B$9)+Assumptions!$B$10,0)</f>
        <v>26391.125</v>
      </c>
      <c r="K17" s="39" t="n">
        <f aca="false">IF(AND(K$5&gt;=$C17,K$5&lt;=$D17),($E17/12)*(1+$F17)*(1+Assumptions!$B$9)+Assumptions!$B$10,0)</f>
        <v>26391.125</v>
      </c>
      <c r="L17" s="39" t="n">
        <f aca="false">IF(AND(L$5&gt;=$C17,L$5&lt;=$D17),($E17/12)*(1+$F17)*(1+Assumptions!$B$9)+Assumptions!$B$10,0)</f>
        <v>26391.125</v>
      </c>
      <c r="M17" s="39" t="n">
        <f aca="false">IF(AND(M$5&gt;=$C17,M$5&lt;=$D17),($E17/12)*(1+$F17)*(1+Assumptions!$B$9)+Assumptions!$B$10,0)</f>
        <v>26391.125</v>
      </c>
      <c r="N17" s="39" t="n">
        <f aca="false">IF(AND(N$5&gt;=$C17,N$5&lt;=$D17),($E17/12)*(1+$F17)*(1+Assumptions!$B$9)+Assumptions!$B$10,0)</f>
        <v>26391.125</v>
      </c>
      <c r="O17" s="39" t="n">
        <f aca="false">IF(AND(O$5&gt;=$C17,O$5&lt;=$D17),($E17/12)*(1+$F17)*(1+Assumptions!$B$9)+Assumptions!$B$10,0)</f>
        <v>26391.125</v>
      </c>
      <c r="P17" s="39" t="n">
        <f aca="false">IF(AND(P$5&gt;=$C17,P$5&lt;=$D17),($E17/12)*(1+$F17)*(1+Assumptions!$B$9)+Assumptions!$B$10,0)</f>
        <v>26391.125</v>
      </c>
      <c r="Q17" s="39" t="n">
        <f aca="false">IF(AND(Q$5&gt;=$C17,Q$5&lt;=$D17),($E17/12)*(1+$F17)*(1+Assumptions!$B$9)+Assumptions!$B$10,0)</f>
        <v>26391.125</v>
      </c>
      <c r="R17" s="39" t="n">
        <f aca="false">IF(AND(R$5&gt;=$C17,R$5&lt;=$D17),($E17/12)*(1+$F17)*(1+Assumptions!$B$9)+Assumptions!$B$10,0)</f>
        <v>26391.125</v>
      </c>
    </row>
    <row r="18" customFormat="false" ht="15" hidden="false" customHeight="false" outlineLevel="0" collapsed="false">
      <c r="A18" s="37" t="s">
        <v>166</v>
      </c>
      <c r="B18" s="37" t="s">
        <v>168</v>
      </c>
      <c r="C18" s="38" t="n">
        <v>0</v>
      </c>
      <c r="D18" s="38" t="n">
        <v>99</v>
      </c>
      <c r="E18" s="32" t="n">
        <v>140000</v>
      </c>
      <c r="F18" s="24" t="n">
        <v>0.5</v>
      </c>
      <c r="G18" s="39" t="n">
        <f aca="false">IF(AND(G$5&gt;=$C18,G$5&lt;=$D18),($E18/12)*(1+$F18)*(1+Assumptions!$B$9)+Assumptions!$B$10,0)</f>
        <v>20566.25</v>
      </c>
      <c r="H18" s="39" t="n">
        <f aca="false">IF(AND(H$5&gt;=$C18,H$5&lt;=$D18),($E18/12)*(1+$F18)*(1+Assumptions!$B$9)+Assumptions!$B$10,0)</f>
        <v>20566.25</v>
      </c>
      <c r="I18" s="39" t="n">
        <f aca="false">IF(AND(I$5&gt;=$C18,I$5&lt;=$D18),($E18/12)*(1+$F18)*(1+Assumptions!$B$9)+Assumptions!$B$10,0)</f>
        <v>20566.25</v>
      </c>
      <c r="J18" s="39" t="n">
        <f aca="false">IF(AND(J$5&gt;=$C18,J$5&lt;=$D18),($E18/12)*(1+$F18)*(1+Assumptions!$B$9)+Assumptions!$B$10,0)</f>
        <v>20566.25</v>
      </c>
      <c r="K18" s="39" t="n">
        <f aca="false">IF(AND(K$5&gt;=$C18,K$5&lt;=$D18),($E18/12)*(1+$F18)*(1+Assumptions!$B$9)+Assumptions!$B$10,0)</f>
        <v>20566.25</v>
      </c>
      <c r="L18" s="39" t="n">
        <f aca="false">IF(AND(L$5&gt;=$C18,L$5&lt;=$D18),($E18/12)*(1+$F18)*(1+Assumptions!$B$9)+Assumptions!$B$10,0)</f>
        <v>20566.25</v>
      </c>
      <c r="M18" s="39" t="n">
        <f aca="false">IF(AND(M$5&gt;=$C18,M$5&lt;=$D18),($E18/12)*(1+$F18)*(1+Assumptions!$B$9)+Assumptions!$B$10,0)</f>
        <v>20566.25</v>
      </c>
      <c r="N18" s="39" t="n">
        <f aca="false">IF(AND(N$5&gt;=$C18,N$5&lt;=$D18),($E18/12)*(1+$F18)*(1+Assumptions!$B$9)+Assumptions!$B$10,0)</f>
        <v>20566.25</v>
      </c>
      <c r="O18" s="39" t="n">
        <f aca="false">IF(AND(O$5&gt;=$C18,O$5&lt;=$D18),($E18/12)*(1+$F18)*(1+Assumptions!$B$9)+Assumptions!$B$10,0)</f>
        <v>20566.25</v>
      </c>
      <c r="P18" s="39" t="n">
        <f aca="false">IF(AND(P$5&gt;=$C18,P$5&lt;=$D18),($E18/12)*(1+$F18)*(1+Assumptions!$B$9)+Assumptions!$B$10,0)</f>
        <v>20566.25</v>
      </c>
      <c r="Q18" s="39" t="n">
        <f aca="false">IF(AND(Q$5&gt;=$C18,Q$5&lt;=$D18),($E18/12)*(1+$F18)*(1+Assumptions!$B$9)+Assumptions!$B$10,0)</f>
        <v>20566.25</v>
      </c>
      <c r="R18" s="39" t="n">
        <f aca="false">IF(AND(R$5&gt;=$C18,R$5&lt;=$D18),($E18/12)*(1+$F18)*(1+Assumptions!$B$9)+Assumptions!$B$10,0)</f>
        <v>20566.25</v>
      </c>
    </row>
    <row r="19" customFormat="false" ht="15" hidden="false" customHeight="false" outlineLevel="0" collapsed="false">
      <c r="A19" s="37" t="s">
        <v>166</v>
      </c>
      <c r="B19" s="37" t="s">
        <v>168</v>
      </c>
      <c r="C19" s="38" t="n">
        <v>5</v>
      </c>
      <c r="D19" s="38" t="n">
        <v>99</v>
      </c>
      <c r="E19" s="32" t="n">
        <v>140000</v>
      </c>
      <c r="F19" s="24" t="n">
        <v>0.5</v>
      </c>
      <c r="G19" s="39" t="n">
        <f aca="false">IF(AND(G$5&gt;=$C19,G$5&lt;=$D19),($E19/12)*(1+$F19)*(1+Assumptions!$B$9)+Assumptions!$B$10,0)</f>
        <v>0</v>
      </c>
      <c r="H19" s="39" t="n">
        <f aca="false">IF(AND(H$5&gt;=$C19,H$5&lt;=$D19),($E19/12)*(1+$F19)*(1+Assumptions!$B$9)+Assumptions!$B$10,0)</f>
        <v>0</v>
      </c>
      <c r="I19" s="39" t="n">
        <f aca="false">IF(AND(I$5&gt;=$C19,I$5&lt;=$D19),($E19/12)*(1+$F19)*(1+Assumptions!$B$9)+Assumptions!$B$10,0)</f>
        <v>0</v>
      </c>
      <c r="J19" s="39" t="n">
        <f aca="false">IF(AND(J$5&gt;=$C19,J$5&lt;=$D19),($E19/12)*(1+$F19)*(1+Assumptions!$B$9)+Assumptions!$B$10,0)</f>
        <v>0</v>
      </c>
      <c r="K19" s="39" t="n">
        <f aca="false">IF(AND(K$5&gt;=$C19,K$5&lt;=$D19),($E19/12)*(1+$F19)*(1+Assumptions!$B$9)+Assumptions!$B$10,0)</f>
        <v>20566.25</v>
      </c>
      <c r="L19" s="39" t="n">
        <f aca="false">IF(AND(L$5&gt;=$C19,L$5&lt;=$D19),($E19/12)*(1+$F19)*(1+Assumptions!$B$9)+Assumptions!$B$10,0)</f>
        <v>20566.25</v>
      </c>
      <c r="M19" s="39" t="n">
        <f aca="false">IF(AND(M$5&gt;=$C19,M$5&lt;=$D19),($E19/12)*(1+$F19)*(1+Assumptions!$B$9)+Assumptions!$B$10,0)</f>
        <v>20566.25</v>
      </c>
      <c r="N19" s="39" t="n">
        <f aca="false">IF(AND(N$5&gt;=$C19,N$5&lt;=$D19),($E19/12)*(1+$F19)*(1+Assumptions!$B$9)+Assumptions!$B$10,0)</f>
        <v>20566.25</v>
      </c>
      <c r="O19" s="39" t="n">
        <f aca="false">IF(AND(O$5&gt;=$C19,O$5&lt;=$D19),($E19/12)*(1+$F19)*(1+Assumptions!$B$9)+Assumptions!$B$10,0)</f>
        <v>20566.25</v>
      </c>
      <c r="P19" s="39" t="n">
        <f aca="false">IF(AND(P$5&gt;=$C19,P$5&lt;=$D19),($E19/12)*(1+$F19)*(1+Assumptions!$B$9)+Assumptions!$B$10,0)</f>
        <v>20566.25</v>
      </c>
      <c r="Q19" s="39" t="n">
        <f aca="false">IF(AND(Q$5&gt;=$C19,Q$5&lt;=$D19),($E19/12)*(1+$F19)*(1+Assumptions!$B$9)+Assumptions!$B$10,0)</f>
        <v>20566.25</v>
      </c>
      <c r="R19" s="39" t="n">
        <f aca="false">IF(AND(R$5&gt;=$C19,R$5&lt;=$D19),($E19/12)*(1+$F19)*(1+Assumptions!$B$9)+Assumptions!$B$10,0)</f>
        <v>20566.25</v>
      </c>
    </row>
    <row r="20" customFormat="false" ht="15" hidden="false" customHeight="false" outlineLevel="0" collapsed="false">
      <c r="A20" s="37" t="s">
        <v>166</v>
      </c>
      <c r="B20" s="37" t="s">
        <v>169</v>
      </c>
      <c r="C20" s="38" t="n">
        <v>0</v>
      </c>
      <c r="D20" s="38" t="n">
        <v>99</v>
      </c>
      <c r="E20" s="32" t="n">
        <v>135000</v>
      </c>
      <c r="F20" s="24" t="n">
        <v>0.1</v>
      </c>
      <c r="G20" s="39" t="n">
        <f aca="false">IF(AND(G$5&gt;=$C20,G$5&lt;=$D20),($E20/12)*(1+$F20)*(1+Assumptions!$B$9)+Assumptions!$B$10,0)</f>
        <v>14880.0625</v>
      </c>
      <c r="H20" s="39" t="n">
        <f aca="false">IF(AND(H$5&gt;=$C20,H$5&lt;=$D20),($E20/12)*(1+$F20)*(1+Assumptions!$B$9)+Assumptions!$B$10,0)</f>
        <v>14880.0625</v>
      </c>
      <c r="I20" s="39" t="n">
        <f aca="false">IF(AND(I$5&gt;=$C20,I$5&lt;=$D20),($E20/12)*(1+$F20)*(1+Assumptions!$B$9)+Assumptions!$B$10,0)</f>
        <v>14880.0625</v>
      </c>
      <c r="J20" s="39" t="n">
        <f aca="false">IF(AND(J$5&gt;=$C20,J$5&lt;=$D20),($E20/12)*(1+$F20)*(1+Assumptions!$B$9)+Assumptions!$B$10,0)</f>
        <v>14880.0625</v>
      </c>
      <c r="K20" s="39" t="n">
        <f aca="false">IF(AND(K$5&gt;=$C20,K$5&lt;=$D20),($E20/12)*(1+$F20)*(1+Assumptions!$B$9)+Assumptions!$B$10,0)</f>
        <v>14880.0625</v>
      </c>
      <c r="L20" s="39" t="n">
        <f aca="false">IF(AND(L$5&gt;=$C20,L$5&lt;=$D20),($E20/12)*(1+$F20)*(1+Assumptions!$B$9)+Assumptions!$B$10,0)</f>
        <v>14880.0625</v>
      </c>
      <c r="M20" s="39" t="n">
        <f aca="false">IF(AND(M$5&gt;=$C20,M$5&lt;=$D20),($E20/12)*(1+$F20)*(1+Assumptions!$B$9)+Assumptions!$B$10,0)</f>
        <v>14880.0625</v>
      </c>
      <c r="N20" s="39" t="n">
        <f aca="false">IF(AND(N$5&gt;=$C20,N$5&lt;=$D20),($E20/12)*(1+$F20)*(1+Assumptions!$B$9)+Assumptions!$B$10,0)</f>
        <v>14880.0625</v>
      </c>
      <c r="O20" s="39" t="n">
        <f aca="false">IF(AND(O$5&gt;=$C20,O$5&lt;=$D20),($E20/12)*(1+$F20)*(1+Assumptions!$B$9)+Assumptions!$B$10,0)</f>
        <v>14880.0625</v>
      </c>
      <c r="P20" s="39" t="n">
        <f aca="false">IF(AND(P$5&gt;=$C20,P$5&lt;=$D20),($E20/12)*(1+$F20)*(1+Assumptions!$B$9)+Assumptions!$B$10,0)</f>
        <v>14880.0625</v>
      </c>
      <c r="Q20" s="39" t="n">
        <f aca="false">IF(AND(Q$5&gt;=$C20,Q$5&lt;=$D20),($E20/12)*(1+$F20)*(1+Assumptions!$B$9)+Assumptions!$B$10,0)</f>
        <v>14880.0625</v>
      </c>
      <c r="R20" s="39" t="n">
        <f aca="false">IF(AND(R$5&gt;=$C20,R$5&lt;=$D20),($E20/12)*(1+$F20)*(1+Assumptions!$B$9)+Assumptions!$B$10,0)</f>
        <v>14880.0625</v>
      </c>
    </row>
    <row r="21" customFormat="false" ht="15" hidden="false" customHeight="false" outlineLevel="0" collapsed="false">
      <c r="A21" s="37" t="s">
        <v>166</v>
      </c>
      <c r="B21" s="37" t="s">
        <v>170</v>
      </c>
      <c r="C21" s="38" t="n">
        <v>6</v>
      </c>
      <c r="D21" s="38" t="n">
        <v>99</v>
      </c>
      <c r="E21" s="32" t="n">
        <v>80000</v>
      </c>
      <c r="F21" s="24" t="n">
        <v>0.3</v>
      </c>
      <c r="G21" s="39" t="n">
        <f aca="false">IF(AND(G$5&gt;=$C21,G$5&lt;=$D21),($E21/12)*(1+$F21)*(1+Assumptions!$B$9)+Assumptions!$B$10,0)</f>
        <v>0</v>
      </c>
      <c r="H21" s="39" t="n">
        <f aca="false">IF(AND(H$5&gt;=$C21,H$5&lt;=$D21),($E21/12)*(1+$F21)*(1+Assumptions!$B$9)+Assumptions!$B$10,0)</f>
        <v>0</v>
      </c>
      <c r="I21" s="39" t="n">
        <f aca="false">IF(AND(I$5&gt;=$C21,I$5&lt;=$D21),($E21/12)*(1+$F21)*(1+Assumptions!$B$9)+Assumptions!$B$10,0)</f>
        <v>0</v>
      </c>
      <c r="J21" s="39" t="n">
        <f aca="false">IF(AND(J$5&gt;=$C21,J$5&lt;=$D21),($E21/12)*(1+$F21)*(1+Assumptions!$B$9)+Assumptions!$B$10,0)</f>
        <v>0</v>
      </c>
      <c r="K21" s="39" t="n">
        <f aca="false">IF(AND(K$5&gt;=$C21,K$5&lt;=$D21),($E21/12)*(1+$F21)*(1+Assumptions!$B$9)+Assumptions!$B$10,0)</f>
        <v>0</v>
      </c>
      <c r="L21" s="39" t="n">
        <f aca="false">IF(AND(L$5&gt;=$C21,L$5&lt;=$D21),($E21/12)*(1+$F21)*(1+Assumptions!$B$9)+Assumptions!$B$10,0)</f>
        <v>10765.6666666667</v>
      </c>
      <c r="M21" s="39" t="n">
        <f aca="false">IF(AND(M$5&gt;=$C21,M$5&lt;=$D21),($E21/12)*(1+$F21)*(1+Assumptions!$B$9)+Assumptions!$B$10,0)</f>
        <v>10765.6666666667</v>
      </c>
      <c r="N21" s="39" t="n">
        <f aca="false">IF(AND(N$5&gt;=$C21,N$5&lt;=$D21),($E21/12)*(1+$F21)*(1+Assumptions!$B$9)+Assumptions!$B$10,0)</f>
        <v>10765.6666666667</v>
      </c>
      <c r="O21" s="39" t="n">
        <f aca="false">IF(AND(O$5&gt;=$C21,O$5&lt;=$D21),($E21/12)*(1+$F21)*(1+Assumptions!$B$9)+Assumptions!$B$10,0)</f>
        <v>10765.6666666667</v>
      </c>
      <c r="P21" s="39" t="n">
        <f aca="false">IF(AND(P$5&gt;=$C21,P$5&lt;=$D21),($E21/12)*(1+$F21)*(1+Assumptions!$B$9)+Assumptions!$B$10,0)</f>
        <v>10765.6666666667</v>
      </c>
      <c r="Q21" s="39" t="n">
        <f aca="false">IF(AND(Q$5&gt;=$C21,Q$5&lt;=$D21),($E21/12)*(1+$F21)*(1+Assumptions!$B$9)+Assumptions!$B$10,0)</f>
        <v>10765.6666666667</v>
      </c>
      <c r="R21" s="39" t="n">
        <f aca="false">IF(AND(R$5&gt;=$C21,R$5&lt;=$D21),($E21/12)*(1+$F21)*(1+Assumptions!$B$9)+Assumptions!$B$10,0)</f>
        <v>10765.6666666667</v>
      </c>
    </row>
    <row r="22" customFormat="false" ht="15" hidden="false" customHeight="false" outlineLevel="0" collapsed="false">
      <c r="A22" s="37" t="s">
        <v>171</v>
      </c>
      <c r="B22" s="37" t="s">
        <v>172</v>
      </c>
      <c r="C22" s="38" t="n">
        <v>0</v>
      </c>
      <c r="D22" s="38" t="n">
        <v>99</v>
      </c>
      <c r="E22" s="32" t="n">
        <v>125000</v>
      </c>
      <c r="F22" s="24" t="n">
        <v>0.1</v>
      </c>
      <c r="G22" s="39" t="n">
        <f aca="false">IF(AND(G$5&gt;=$C22,G$5&lt;=$D22),($E22/12)*(1+$F22)*(1+Assumptions!$B$9)+Assumptions!$B$10,0)</f>
        <v>13863.0208333333</v>
      </c>
      <c r="H22" s="39" t="n">
        <f aca="false">IF(AND(H$5&gt;=$C22,H$5&lt;=$D22),($E22/12)*(1+$F22)*(1+Assumptions!$B$9)+Assumptions!$B$10,0)</f>
        <v>13863.0208333333</v>
      </c>
      <c r="I22" s="39" t="n">
        <f aca="false">IF(AND(I$5&gt;=$C22,I$5&lt;=$D22),($E22/12)*(1+$F22)*(1+Assumptions!$B$9)+Assumptions!$B$10,0)</f>
        <v>13863.0208333333</v>
      </c>
      <c r="J22" s="39" t="n">
        <f aca="false">IF(AND(J$5&gt;=$C22,J$5&lt;=$D22),($E22/12)*(1+$F22)*(1+Assumptions!$B$9)+Assumptions!$B$10,0)</f>
        <v>13863.0208333333</v>
      </c>
      <c r="K22" s="39" t="n">
        <f aca="false">IF(AND(K$5&gt;=$C22,K$5&lt;=$D22),($E22/12)*(1+$F22)*(1+Assumptions!$B$9)+Assumptions!$B$10,0)</f>
        <v>13863.0208333333</v>
      </c>
      <c r="L22" s="39" t="n">
        <f aca="false">IF(AND(L$5&gt;=$C22,L$5&lt;=$D22),($E22/12)*(1+$F22)*(1+Assumptions!$B$9)+Assumptions!$B$10,0)</f>
        <v>13863.0208333333</v>
      </c>
      <c r="M22" s="39" t="n">
        <f aca="false">IF(AND(M$5&gt;=$C22,M$5&lt;=$D22),($E22/12)*(1+$F22)*(1+Assumptions!$B$9)+Assumptions!$B$10,0)</f>
        <v>13863.0208333333</v>
      </c>
      <c r="N22" s="39" t="n">
        <f aca="false">IF(AND(N$5&gt;=$C22,N$5&lt;=$D22),($E22/12)*(1+$F22)*(1+Assumptions!$B$9)+Assumptions!$B$10,0)</f>
        <v>13863.0208333333</v>
      </c>
      <c r="O22" s="39" t="n">
        <f aca="false">IF(AND(O$5&gt;=$C22,O$5&lt;=$D22),($E22/12)*(1+$F22)*(1+Assumptions!$B$9)+Assumptions!$B$10,0)</f>
        <v>13863.0208333333</v>
      </c>
      <c r="P22" s="39" t="n">
        <f aca="false">IF(AND(P$5&gt;=$C22,P$5&lt;=$D22),($E22/12)*(1+$F22)*(1+Assumptions!$B$9)+Assumptions!$B$10,0)</f>
        <v>13863.0208333333</v>
      </c>
      <c r="Q22" s="39" t="n">
        <f aca="false">IF(AND(Q$5&gt;=$C22,Q$5&lt;=$D22),($E22/12)*(1+$F22)*(1+Assumptions!$B$9)+Assumptions!$B$10,0)</f>
        <v>13863.0208333333</v>
      </c>
      <c r="R22" s="39" t="n">
        <f aca="false">IF(AND(R$5&gt;=$C22,R$5&lt;=$D22),($E22/12)*(1+$F22)*(1+Assumptions!$B$9)+Assumptions!$B$10,0)</f>
        <v>13863.0208333333</v>
      </c>
    </row>
    <row r="23" customFormat="false" ht="15" hidden="false" customHeight="false" outlineLevel="0" collapsed="false">
      <c r="A23" s="37" t="s">
        <v>171</v>
      </c>
      <c r="B23" s="37" t="s">
        <v>173</v>
      </c>
      <c r="C23" s="38" t="n">
        <v>9</v>
      </c>
      <c r="D23" s="38" t="n">
        <v>99</v>
      </c>
      <c r="E23" s="32" t="n">
        <v>95000</v>
      </c>
      <c r="F23" s="24" t="n">
        <v>0.08</v>
      </c>
      <c r="G23" s="39" t="n">
        <f aca="false">IF(AND(G$5&gt;=$C23,G$5&lt;=$D23),($E23/12)*(1+$F23)*(1+Assumptions!$B$9)+Assumptions!$B$10,0)</f>
        <v>0</v>
      </c>
      <c r="H23" s="39" t="n">
        <f aca="false">IF(AND(H$5&gt;=$C23,H$5&lt;=$D23),($E23/12)*(1+$F23)*(1+Assumptions!$B$9)+Assumptions!$B$10,0)</f>
        <v>0</v>
      </c>
      <c r="I23" s="39" t="n">
        <f aca="false">IF(AND(I$5&gt;=$C23,I$5&lt;=$D23),($E23/12)*(1+$F23)*(1+Assumptions!$B$9)+Assumptions!$B$10,0)</f>
        <v>0</v>
      </c>
      <c r="J23" s="39" t="n">
        <f aca="false">IF(AND(J$5&gt;=$C23,J$5&lt;=$D23),($E23/12)*(1+$F23)*(1+Assumptions!$B$9)+Assumptions!$B$10,0)</f>
        <v>0</v>
      </c>
      <c r="K23" s="39" t="n">
        <f aca="false">IF(AND(K$5&gt;=$C23,K$5&lt;=$D23),($E23/12)*(1+$F23)*(1+Assumptions!$B$9)+Assumptions!$B$10,0)</f>
        <v>0</v>
      </c>
      <c r="L23" s="39" t="n">
        <f aca="false">IF(AND(L$5&gt;=$C23,L$5&lt;=$D23),($E23/12)*(1+$F23)*(1+Assumptions!$B$9)+Assumptions!$B$10,0)</f>
        <v>0</v>
      </c>
      <c r="M23" s="39" t="n">
        <f aca="false">IF(AND(M$5&gt;=$C23,M$5&lt;=$D23),($E23/12)*(1+$F23)*(1+Assumptions!$B$9)+Assumptions!$B$10,0)</f>
        <v>0</v>
      </c>
      <c r="N23" s="39" t="n">
        <f aca="false">IF(AND(N$5&gt;=$C23,N$5&lt;=$D23),($E23/12)*(1+$F23)*(1+Assumptions!$B$9)+Assumptions!$B$10,0)</f>
        <v>0</v>
      </c>
      <c r="O23" s="39" t="n">
        <f aca="false">IF(AND(O$5&gt;=$C23,O$5&lt;=$D23),($E23/12)*(1+$F23)*(1+Assumptions!$B$9)+Assumptions!$B$10,0)</f>
        <v>10636.225</v>
      </c>
      <c r="P23" s="39" t="n">
        <f aca="false">IF(AND(P$5&gt;=$C23,P$5&lt;=$D23),($E23/12)*(1+$F23)*(1+Assumptions!$B$9)+Assumptions!$B$10,0)</f>
        <v>10636.225</v>
      </c>
      <c r="Q23" s="39" t="n">
        <f aca="false">IF(AND(Q$5&gt;=$C23,Q$5&lt;=$D23),($E23/12)*(1+$F23)*(1+Assumptions!$B$9)+Assumptions!$B$10,0)</f>
        <v>10636.225</v>
      </c>
      <c r="R23" s="39" t="n">
        <f aca="false">IF(AND(R$5&gt;=$C23,R$5&lt;=$D23),($E23/12)*(1+$F23)*(1+Assumptions!$B$9)+Assumptions!$B$10,0)</f>
        <v>10636.225</v>
      </c>
    </row>
    <row r="24" customFormat="false" ht="15" hidden="false" customHeight="false" outlineLevel="0" collapsed="false">
      <c r="A24" s="37" t="s">
        <v>174</v>
      </c>
      <c r="B24" s="37" t="s">
        <v>175</v>
      </c>
      <c r="C24" s="38" t="n">
        <v>0</v>
      </c>
      <c r="D24" s="38" t="n">
        <v>99</v>
      </c>
      <c r="E24" s="32" t="n">
        <v>110000</v>
      </c>
      <c r="F24" s="24" t="n">
        <v>0.05</v>
      </c>
      <c r="G24" s="39" t="n">
        <f aca="false">IF(AND(G$5&gt;=$C24,G$5&lt;=$D24),($E24/12)*(1+$F24)*(1+Assumptions!$B$9)+Assumptions!$B$10,0)</f>
        <v>11828.9375</v>
      </c>
      <c r="H24" s="39" t="n">
        <f aca="false">IF(AND(H$5&gt;=$C24,H$5&lt;=$D24),($E24/12)*(1+$F24)*(1+Assumptions!$B$9)+Assumptions!$B$10,0)</f>
        <v>11828.9375</v>
      </c>
      <c r="I24" s="39" t="n">
        <f aca="false">IF(AND(I$5&gt;=$C24,I$5&lt;=$D24),($E24/12)*(1+$F24)*(1+Assumptions!$B$9)+Assumptions!$B$10,0)</f>
        <v>11828.9375</v>
      </c>
      <c r="J24" s="39" t="n">
        <f aca="false">IF(AND(J$5&gt;=$C24,J$5&lt;=$D24),($E24/12)*(1+$F24)*(1+Assumptions!$B$9)+Assumptions!$B$10,0)</f>
        <v>11828.9375</v>
      </c>
      <c r="K24" s="39" t="n">
        <f aca="false">IF(AND(K$5&gt;=$C24,K$5&lt;=$D24),($E24/12)*(1+$F24)*(1+Assumptions!$B$9)+Assumptions!$B$10,0)</f>
        <v>11828.9375</v>
      </c>
      <c r="L24" s="39" t="n">
        <f aca="false">IF(AND(L$5&gt;=$C24,L$5&lt;=$D24),($E24/12)*(1+$F24)*(1+Assumptions!$B$9)+Assumptions!$B$10,0)</f>
        <v>11828.9375</v>
      </c>
      <c r="M24" s="39" t="n">
        <f aca="false">IF(AND(M$5&gt;=$C24,M$5&lt;=$D24),($E24/12)*(1+$F24)*(1+Assumptions!$B$9)+Assumptions!$B$10,0)</f>
        <v>11828.9375</v>
      </c>
      <c r="N24" s="39" t="n">
        <f aca="false">IF(AND(N$5&gt;=$C24,N$5&lt;=$D24),($E24/12)*(1+$F24)*(1+Assumptions!$B$9)+Assumptions!$B$10,0)</f>
        <v>11828.9375</v>
      </c>
      <c r="O24" s="39" t="n">
        <f aca="false">IF(AND(O$5&gt;=$C24,O$5&lt;=$D24),($E24/12)*(1+$F24)*(1+Assumptions!$B$9)+Assumptions!$B$10,0)</f>
        <v>11828.9375</v>
      </c>
      <c r="P24" s="39" t="n">
        <f aca="false">IF(AND(P$5&gt;=$C24,P$5&lt;=$D24),($E24/12)*(1+$F24)*(1+Assumptions!$B$9)+Assumptions!$B$10,0)</f>
        <v>11828.9375</v>
      </c>
      <c r="Q24" s="39" t="n">
        <f aca="false">IF(AND(Q$5&gt;=$C24,Q$5&lt;=$D24),($E24/12)*(1+$F24)*(1+Assumptions!$B$9)+Assumptions!$B$10,0)</f>
        <v>11828.9375</v>
      </c>
      <c r="R24" s="39" t="n">
        <f aca="false">IF(AND(R$5&gt;=$C24,R$5&lt;=$D24),($E24/12)*(1+$F24)*(1+Assumptions!$B$9)+Assumptions!$B$10,0)</f>
        <v>11828.9375</v>
      </c>
    </row>
    <row r="25" customFormat="false" ht="15" hidden="false" customHeight="false" outlineLevel="0" collapsed="false">
      <c r="A25" s="37" t="s">
        <v>174</v>
      </c>
      <c r="B25" s="37" t="s">
        <v>175</v>
      </c>
      <c r="C25" s="38" t="n">
        <v>8</v>
      </c>
      <c r="D25" s="38" t="n">
        <v>99</v>
      </c>
      <c r="E25" s="32" t="n">
        <v>105000</v>
      </c>
      <c r="F25" s="24" t="n">
        <v>0.05</v>
      </c>
      <c r="G25" s="39" t="n">
        <f aca="false">IF(AND(G$5&gt;=$C25,G$5&lt;=$D25),($E25/12)*(1+$F25)*(1+Assumptions!$B$9)+Assumptions!$B$10,0)</f>
        <v>0</v>
      </c>
      <c r="H25" s="39" t="n">
        <f aca="false">IF(AND(H$5&gt;=$C25,H$5&lt;=$D25),($E25/12)*(1+$F25)*(1+Assumptions!$B$9)+Assumptions!$B$10,0)</f>
        <v>0</v>
      </c>
      <c r="I25" s="39" t="n">
        <f aca="false">IF(AND(I$5&gt;=$C25,I$5&lt;=$D25),($E25/12)*(1+$F25)*(1+Assumptions!$B$9)+Assumptions!$B$10,0)</f>
        <v>0</v>
      </c>
      <c r="J25" s="39" t="n">
        <f aca="false">IF(AND(J$5&gt;=$C25,J$5&lt;=$D25),($E25/12)*(1+$F25)*(1+Assumptions!$B$9)+Assumptions!$B$10,0)</f>
        <v>0</v>
      </c>
      <c r="K25" s="39" t="n">
        <f aca="false">IF(AND(K$5&gt;=$C25,K$5&lt;=$D25),($E25/12)*(1+$F25)*(1+Assumptions!$B$9)+Assumptions!$B$10,0)</f>
        <v>0</v>
      </c>
      <c r="L25" s="39" t="n">
        <f aca="false">IF(AND(L$5&gt;=$C25,L$5&lt;=$D25),($E25/12)*(1+$F25)*(1+Assumptions!$B$9)+Assumptions!$B$10,0)</f>
        <v>0</v>
      </c>
      <c r="M25" s="39" t="n">
        <f aca="false">IF(AND(M$5&gt;=$C25,M$5&lt;=$D25),($E25/12)*(1+$F25)*(1+Assumptions!$B$9)+Assumptions!$B$10,0)</f>
        <v>0</v>
      </c>
      <c r="N25" s="39" t="n">
        <f aca="false">IF(AND(N$5&gt;=$C25,N$5&lt;=$D25),($E25/12)*(1+$F25)*(1+Assumptions!$B$9)+Assumptions!$B$10,0)</f>
        <v>11343.53125</v>
      </c>
      <c r="O25" s="39" t="n">
        <f aca="false">IF(AND(O$5&gt;=$C25,O$5&lt;=$D25),($E25/12)*(1+$F25)*(1+Assumptions!$B$9)+Assumptions!$B$10,0)</f>
        <v>11343.53125</v>
      </c>
      <c r="P25" s="39" t="n">
        <f aca="false">IF(AND(P$5&gt;=$C25,P$5&lt;=$D25),($E25/12)*(1+$F25)*(1+Assumptions!$B$9)+Assumptions!$B$10,0)</f>
        <v>11343.53125</v>
      </c>
      <c r="Q25" s="39" t="n">
        <f aca="false">IF(AND(Q$5&gt;=$C25,Q$5&lt;=$D25),($E25/12)*(1+$F25)*(1+Assumptions!$B$9)+Assumptions!$B$10,0)</f>
        <v>11343.53125</v>
      </c>
      <c r="R25" s="39" t="n">
        <f aca="false">IF(AND(R$5&gt;=$C25,R$5&lt;=$D25),($E25/12)*(1+$F25)*(1+Assumptions!$B$9)+Assumptions!$B$10,0)</f>
        <v>11343.53125</v>
      </c>
    </row>
    <row r="26" customFormat="false" ht="15" hidden="false" customHeight="false" outlineLevel="0" collapsed="false">
      <c r="A26" s="37"/>
      <c r="B26" s="37"/>
      <c r="C26" s="37"/>
      <c r="D26" s="37"/>
      <c r="E26" s="32"/>
      <c r="F26" s="24"/>
      <c r="G26" s="39" t="n">
        <f aca="false">IF(AND($C26&lt;&gt;"",G$5&gt;=$C26,G$5&lt;=$D26),($E26/12)*(1+$F26)*(1+Assumptions!$B$9)+Assumptions!$B$10,0)</f>
        <v>0</v>
      </c>
      <c r="H26" s="39" t="n">
        <f aca="false">IF(AND($C26&lt;&gt;"",H$5&gt;=$C26,H$5&lt;=$D26),($E26/12)*(1+$F26)*(1+Assumptions!$B$9)+Assumptions!$B$10,0)</f>
        <v>0</v>
      </c>
      <c r="I26" s="39" t="n">
        <f aca="false">IF(AND($C26&lt;&gt;"",I$5&gt;=$C26,I$5&lt;=$D26),($E26/12)*(1+$F26)*(1+Assumptions!$B$9)+Assumptions!$B$10,0)</f>
        <v>0</v>
      </c>
      <c r="J26" s="39" t="n">
        <f aca="false">IF(AND($C26&lt;&gt;"",J$5&gt;=$C26,J$5&lt;=$D26),($E26/12)*(1+$F26)*(1+Assumptions!$B$9)+Assumptions!$B$10,0)</f>
        <v>0</v>
      </c>
      <c r="K26" s="39" t="n">
        <f aca="false">IF(AND($C26&lt;&gt;"",K$5&gt;=$C26,K$5&lt;=$D26),($E26/12)*(1+$F26)*(1+Assumptions!$B$9)+Assumptions!$B$10,0)</f>
        <v>0</v>
      </c>
      <c r="L26" s="39" t="n">
        <f aca="false">IF(AND($C26&lt;&gt;"",L$5&gt;=$C26,L$5&lt;=$D26),($E26/12)*(1+$F26)*(1+Assumptions!$B$9)+Assumptions!$B$10,0)</f>
        <v>0</v>
      </c>
      <c r="M26" s="39" t="n">
        <f aca="false">IF(AND($C26&lt;&gt;"",M$5&gt;=$C26,M$5&lt;=$D26),($E26/12)*(1+$F26)*(1+Assumptions!$B$9)+Assumptions!$B$10,0)</f>
        <v>0</v>
      </c>
      <c r="N26" s="39" t="n">
        <f aca="false">IF(AND($C26&lt;&gt;"",N$5&gt;=$C26,N$5&lt;=$D26),($E26/12)*(1+$F26)*(1+Assumptions!$B$9)+Assumptions!$B$10,0)</f>
        <v>0</v>
      </c>
      <c r="O26" s="39" t="n">
        <f aca="false">IF(AND($C26&lt;&gt;"",O$5&gt;=$C26,O$5&lt;=$D26),($E26/12)*(1+$F26)*(1+Assumptions!$B$9)+Assumptions!$B$10,0)</f>
        <v>0</v>
      </c>
      <c r="P26" s="39" t="n">
        <f aca="false">IF(AND($C26&lt;&gt;"",P$5&gt;=$C26,P$5&lt;=$D26),($E26/12)*(1+$F26)*(1+Assumptions!$B$9)+Assumptions!$B$10,0)</f>
        <v>0</v>
      </c>
      <c r="Q26" s="39" t="n">
        <f aca="false">IF(AND($C26&lt;&gt;"",Q$5&gt;=$C26,Q$5&lt;=$D26),($E26/12)*(1+$F26)*(1+Assumptions!$B$9)+Assumptions!$B$10,0)</f>
        <v>0</v>
      </c>
      <c r="R26" s="39" t="n">
        <f aca="false">IF(AND($C26&lt;&gt;"",R$5&gt;=$C26,R$5&lt;=$D26),($E26/12)*(1+$F26)*(1+Assumptions!$B$9)+Assumptions!$B$10,0)</f>
        <v>0</v>
      </c>
    </row>
    <row r="27" customFormat="false" ht="15" hidden="false" customHeight="false" outlineLevel="0" collapsed="false">
      <c r="A27" s="37"/>
      <c r="B27" s="37"/>
      <c r="C27" s="37"/>
      <c r="D27" s="37"/>
      <c r="E27" s="32"/>
      <c r="F27" s="24"/>
      <c r="G27" s="39" t="n">
        <f aca="false">IF(AND($C27&lt;&gt;"",G$5&gt;=$C27,G$5&lt;=$D27),($E27/12)*(1+$F27)*(1+Assumptions!$B$9)+Assumptions!$B$10,0)</f>
        <v>0</v>
      </c>
      <c r="H27" s="39" t="n">
        <f aca="false">IF(AND($C27&lt;&gt;"",H$5&gt;=$C27,H$5&lt;=$D27),($E27/12)*(1+$F27)*(1+Assumptions!$B$9)+Assumptions!$B$10,0)</f>
        <v>0</v>
      </c>
      <c r="I27" s="39" t="n">
        <f aca="false">IF(AND($C27&lt;&gt;"",I$5&gt;=$C27,I$5&lt;=$D27),($E27/12)*(1+$F27)*(1+Assumptions!$B$9)+Assumptions!$B$10,0)</f>
        <v>0</v>
      </c>
      <c r="J27" s="39" t="n">
        <f aca="false">IF(AND($C27&lt;&gt;"",J$5&gt;=$C27,J$5&lt;=$D27),($E27/12)*(1+$F27)*(1+Assumptions!$B$9)+Assumptions!$B$10,0)</f>
        <v>0</v>
      </c>
      <c r="K27" s="39" t="n">
        <f aca="false">IF(AND($C27&lt;&gt;"",K$5&gt;=$C27,K$5&lt;=$D27),($E27/12)*(1+$F27)*(1+Assumptions!$B$9)+Assumptions!$B$10,0)</f>
        <v>0</v>
      </c>
      <c r="L27" s="39" t="n">
        <f aca="false">IF(AND($C27&lt;&gt;"",L$5&gt;=$C27,L$5&lt;=$D27),($E27/12)*(1+$F27)*(1+Assumptions!$B$9)+Assumptions!$B$10,0)</f>
        <v>0</v>
      </c>
      <c r="M27" s="39" t="n">
        <f aca="false">IF(AND($C27&lt;&gt;"",M$5&gt;=$C27,M$5&lt;=$D27),($E27/12)*(1+$F27)*(1+Assumptions!$B$9)+Assumptions!$B$10,0)</f>
        <v>0</v>
      </c>
      <c r="N27" s="39" t="n">
        <f aca="false">IF(AND($C27&lt;&gt;"",N$5&gt;=$C27,N$5&lt;=$D27),($E27/12)*(1+$F27)*(1+Assumptions!$B$9)+Assumptions!$B$10,0)</f>
        <v>0</v>
      </c>
      <c r="O27" s="39" t="n">
        <f aca="false">IF(AND($C27&lt;&gt;"",O$5&gt;=$C27,O$5&lt;=$D27),($E27/12)*(1+$F27)*(1+Assumptions!$B$9)+Assumptions!$B$10,0)</f>
        <v>0</v>
      </c>
      <c r="P27" s="39" t="n">
        <f aca="false">IF(AND($C27&lt;&gt;"",P$5&gt;=$C27,P$5&lt;=$D27),($E27/12)*(1+$F27)*(1+Assumptions!$B$9)+Assumptions!$B$10,0)</f>
        <v>0</v>
      </c>
      <c r="Q27" s="39" t="n">
        <f aca="false">IF(AND($C27&lt;&gt;"",Q$5&gt;=$C27,Q$5&lt;=$D27),($E27/12)*(1+$F27)*(1+Assumptions!$B$9)+Assumptions!$B$10,0)</f>
        <v>0</v>
      </c>
      <c r="R27" s="39" t="n">
        <f aca="false">IF(AND($C27&lt;&gt;"",R$5&gt;=$C27,R$5&lt;=$D27),($E27/12)*(1+$F27)*(1+Assumptions!$B$9)+Assumptions!$B$10,0)</f>
        <v>0</v>
      </c>
    </row>
    <row r="28" customFormat="false" ht="15" hidden="false" customHeight="false" outlineLevel="0" collapsed="false">
      <c r="A28" s="37"/>
      <c r="B28" s="37"/>
      <c r="C28" s="37"/>
      <c r="D28" s="37"/>
      <c r="E28" s="32"/>
      <c r="F28" s="24"/>
      <c r="G28" s="39" t="n">
        <f aca="false">IF(AND($C28&lt;&gt;"",G$5&gt;=$C28,G$5&lt;=$D28),($E28/12)*(1+$F28)*(1+Assumptions!$B$9)+Assumptions!$B$10,0)</f>
        <v>0</v>
      </c>
      <c r="H28" s="39" t="n">
        <f aca="false">IF(AND($C28&lt;&gt;"",H$5&gt;=$C28,H$5&lt;=$D28),($E28/12)*(1+$F28)*(1+Assumptions!$B$9)+Assumptions!$B$10,0)</f>
        <v>0</v>
      </c>
      <c r="I28" s="39" t="n">
        <f aca="false">IF(AND($C28&lt;&gt;"",I$5&gt;=$C28,I$5&lt;=$D28),($E28/12)*(1+$F28)*(1+Assumptions!$B$9)+Assumptions!$B$10,0)</f>
        <v>0</v>
      </c>
      <c r="J28" s="39" t="n">
        <f aca="false">IF(AND($C28&lt;&gt;"",J$5&gt;=$C28,J$5&lt;=$D28),($E28/12)*(1+$F28)*(1+Assumptions!$B$9)+Assumptions!$B$10,0)</f>
        <v>0</v>
      </c>
      <c r="K28" s="39" t="n">
        <f aca="false">IF(AND($C28&lt;&gt;"",K$5&gt;=$C28,K$5&lt;=$D28),($E28/12)*(1+$F28)*(1+Assumptions!$B$9)+Assumptions!$B$10,0)</f>
        <v>0</v>
      </c>
      <c r="L28" s="39" t="n">
        <f aca="false">IF(AND($C28&lt;&gt;"",L$5&gt;=$C28,L$5&lt;=$D28),($E28/12)*(1+$F28)*(1+Assumptions!$B$9)+Assumptions!$B$10,0)</f>
        <v>0</v>
      </c>
      <c r="M28" s="39" t="n">
        <f aca="false">IF(AND($C28&lt;&gt;"",M$5&gt;=$C28,M$5&lt;=$D28),($E28/12)*(1+$F28)*(1+Assumptions!$B$9)+Assumptions!$B$10,0)</f>
        <v>0</v>
      </c>
      <c r="N28" s="39" t="n">
        <f aca="false">IF(AND($C28&lt;&gt;"",N$5&gt;=$C28,N$5&lt;=$D28),($E28/12)*(1+$F28)*(1+Assumptions!$B$9)+Assumptions!$B$10,0)</f>
        <v>0</v>
      </c>
      <c r="O28" s="39" t="n">
        <f aca="false">IF(AND($C28&lt;&gt;"",O$5&gt;=$C28,O$5&lt;=$D28),($E28/12)*(1+$F28)*(1+Assumptions!$B$9)+Assumptions!$B$10,0)</f>
        <v>0</v>
      </c>
      <c r="P28" s="39" t="n">
        <f aca="false">IF(AND($C28&lt;&gt;"",P$5&gt;=$C28,P$5&lt;=$D28),($E28/12)*(1+$F28)*(1+Assumptions!$B$9)+Assumptions!$B$10,0)</f>
        <v>0</v>
      </c>
      <c r="Q28" s="39" t="n">
        <f aca="false">IF(AND($C28&lt;&gt;"",Q$5&gt;=$C28,Q$5&lt;=$D28),($E28/12)*(1+$F28)*(1+Assumptions!$B$9)+Assumptions!$B$10,0)</f>
        <v>0</v>
      </c>
      <c r="R28" s="39" t="n">
        <f aca="false">IF(AND($C28&lt;&gt;"",R$5&gt;=$C28,R$5&lt;=$D28),($E28/12)*(1+$F28)*(1+Assumptions!$B$9)+Assumptions!$B$10,0)</f>
        <v>0</v>
      </c>
    </row>
    <row r="29" customFormat="false" ht="15" hidden="false" customHeight="false" outlineLevel="0" collapsed="false">
      <c r="A29" s="37"/>
      <c r="B29" s="37"/>
      <c r="C29" s="37"/>
      <c r="D29" s="37"/>
      <c r="E29" s="32"/>
      <c r="F29" s="24"/>
      <c r="G29" s="39" t="n">
        <f aca="false">IF(AND($C29&lt;&gt;"",G$5&gt;=$C29,G$5&lt;=$D29),($E29/12)*(1+$F29)*(1+Assumptions!$B$9)+Assumptions!$B$10,0)</f>
        <v>0</v>
      </c>
      <c r="H29" s="39" t="n">
        <f aca="false">IF(AND($C29&lt;&gt;"",H$5&gt;=$C29,H$5&lt;=$D29),($E29/12)*(1+$F29)*(1+Assumptions!$B$9)+Assumptions!$B$10,0)</f>
        <v>0</v>
      </c>
      <c r="I29" s="39" t="n">
        <f aca="false">IF(AND($C29&lt;&gt;"",I$5&gt;=$C29,I$5&lt;=$D29),($E29/12)*(1+$F29)*(1+Assumptions!$B$9)+Assumptions!$B$10,0)</f>
        <v>0</v>
      </c>
      <c r="J29" s="39" t="n">
        <f aca="false">IF(AND($C29&lt;&gt;"",J$5&gt;=$C29,J$5&lt;=$D29),($E29/12)*(1+$F29)*(1+Assumptions!$B$9)+Assumptions!$B$10,0)</f>
        <v>0</v>
      </c>
      <c r="K29" s="39" t="n">
        <f aca="false">IF(AND($C29&lt;&gt;"",K$5&gt;=$C29,K$5&lt;=$D29),($E29/12)*(1+$F29)*(1+Assumptions!$B$9)+Assumptions!$B$10,0)</f>
        <v>0</v>
      </c>
      <c r="L29" s="39" t="n">
        <f aca="false">IF(AND($C29&lt;&gt;"",L$5&gt;=$C29,L$5&lt;=$D29),($E29/12)*(1+$F29)*(1+Assumptions!$B$9)+Assumptions!$B$10,0)</f>
        <v>0</v>
      </c>
      <c r="M29" s="39" t="n">
        <f aca="false">IF(AND($C29&lt;&gt;"",M$5&gt;=$C29,M$5&lt;=$D29),($E29/12)*(1+$F29)*(1+Assumptions!$B$9)+Assumptions!$B$10,0)</f>
        <v>0</v>
      </c>
      <c r="N29" s="39" t="n">
        <f aca="false">IF(AND($C29&lt;&gt;"",N$5&gt;=$C29,N$5&lt;=$D29),($E29/12)*(1+$F29)*(1+Assumptions!$B$9)+Assumptions!$B$10,0)</f>
        <v>0</v>
      </c>
      <c r="O29" s="39" t="n">
        <f aca="false">IF(AND($C29&lt;&gt;"",O$5&gt;=$C29,O$5&lt;=$D29),($E29/12)*(1+$F29)*(1+Assumptions!$B$9)+Assumptions!$B$10,0)</f>
        <v>0</v>
      </c>
      <c r="P29" s="39" t="n">
        <f aca="false">IF(AND($C29&lt;&gt;"",P$5&gt;=$C29,P$5&lt;=$D29),($E29/12)*(1+$F29)*(1+Assumptions!$B$9)+Assumptions!$B$10,0)</f>
        <v>0</v>
      </c>
      <c r="Q29" s="39" t="n">
        <f aca="false">IF(AND($C29&lt;&gt;"",Q$5&gt;=$C29,Q$5&lt;=$D29),($E29/12)*(1+$F29)*(1+Assumptions!$B$9)+Assumptions!$B$10,0)</f>
        <v>0</v>
      </c>
      <c r="R29" s="39" t="n">
        <f aca="false">IF(AND($C29&lt;&gt;"",R$5&gt;=$C29,R$5&lt;=$D29),($E29/12)*(1+$F29)*(1+Assumptions!$B$9)+Assumptions!$B$10,0)</f>
        <v>0</v>
      </c>
    </row>
    <row r="30" customFormat="false" ht="15" hidden="false" customHeight="false" outlineLevel="0" collapsed="false">
      <c r="A30" s="37"/>
      <c r="B30" s="37"/>
      <c r="C30" s="37"/>
      <c r="D30" s="37"/>
      <c r="E30" s="32"/>
      <c r="F30" s="24"/>
      <c r="G30" s="39" t="n">
        <f aca="false">IF(AND($C30&lt;&gt;"",G$5&gt;=$C30,G$5&lt;=$D30),($E30/12)*(1+$F30)*(1+Assumptions!$B$9)+Assumptions!$B$10,0)</f>
        <v>0</v>
      </c>
      <c r="H30" s="39" t="n">
        <f aca="false">IF(AND($C30&lt;&gt;"",H$5&gt;=$C30,H$5&lt;=$D30),($E30/12)*(1+$F30)*(1+Assumptions!$B$9)+Assumptions!$B$10,0)</f>
        <v>0</v>
      </c>
      <c r="I30" s="39" t="n">
        <f aca="false">IF(AND($C30&lt;&gt;"",I$5&gt;=$C30,I$5&lt;=$D30),($E30/12)*(1+$F30)*(1+Assumptions!$B$9)+Assumptions!$B$10,0)</f>
        <v>0</v>
      </c>
      <c r="J30" s="39" t="n">
        <f aca="false">IF(AND($C30&lt;&gt;"",J$5&gt;=$C30,J$5&lt;=$D30),($E30/12)*(1+$F30)*(1+Assumptions!$B$9)+Assumptions!$B$10,0)</f>
        <v>0</v>
      </c>
      <c r="K30" s="39" t="n">
        <f aca="false">IF(AND($C30&lt;&gt;"",K$5&gt;=$C30,K$5&lt;=$D30),($E30/12)*(1+$F30)*(1+Assumptions!$B$9)+Assumptions!$B$10,0)</f>
        <v>0</v>
      </c>
      <c r="L30" s="39" t="n">
        <f aca="false">IF(AND($C30&lt;&gt;"",L$5&gt;=$C30,L$5&lt;=$D30),($E30/12)*(1+$F30)*(1+Assumptions!$B$9)+Assumptions!$B$10,0)</f>
        <v>0</v>
      </c>
      <c r="M30" s="39" t="n">
        <f aca="false">IF(AND($C30&lt;&gt;"",M$5&gt;=$C30,M$5&lt;=$D30),($E30/12)*(1+$F30)*(1+Assumptions!$B$9)+Assumptions!$B$10,0)</f>
        <v>0</v>
      </c>
      <c r="N30" s="39" t="n">
        <f aca="false">IF(AND($C30&lt;&gt;"",N$5&gt;=$C30,N$5&lt;=$D30),($E30/12)*(1+$F30)*(1+Assumptions!$B$9)+Assumptions!$B$10,0)</f>
        <v>0</v>
      </c>
      <c r="O30" s="39" t="n">
        <f aca="false">IF(AND($C30&lt;&gt;"",O$5&gt;=$C30,O$5&lt;=$D30),($E30/12)*(1+$F30)*(1+Assumptions!$B$9)+Assumptions!$B$10,0)</f>
        <v>0</v>
      </c>
      <c r="P30" s="39" t="n">
        <f aca="false">IF(AND($C30&lt;&gt;"",P$5&gt;=$C30,P$5&lt;=$D30),($E30/12)*(1+$F30)*(1+Assumptions!$B$9)+Assumptions!$B$10,0)</f>
        <v>0</v>
      </c>
      <c r="Q30" s="39" t="n">
        <f aca="false">IF(AND($C30&lt;&gt;"",Q$5&gt;=$C30,Q$5&lt;=$D30),($E30/12)*(1+$F30)*(1+Assumptions!$B$9)+Assumptions!$B$10,0)</f>
        <v>0</v>
      </c>
      <c r="R30" s="39" t="n">
        <f aca="false">IF(AND($C30&lt;&gt;"",R$5&gt;=$C30,R$5&lt;=$D30),($E30/12)*(1+$F30)*(1+Assumptions!$B$9)+Assumptions!$B$10,0)</f>
        <v>0</v>
      </c>
    </row>
    <row r="31" customFormat="false" ht="15" hidden="false" customHeight="false" outlineLevel="0" collapsed="false">
      <c r="A31" s="37"/>
      <c r="B31" s="37"/>
      <c r="C31" s="37"/>
      <c r="D31" s="37"/>
      <c r="E31" s="32"/>
      <c r="F31" s="24"/>
      <c r="G31" s="39" t="n">
        <f aca="false">IF(AND($C31&lt;&gt;"",G$5&gt;=$C31,G$5&lt;=$D31),($E31/12)*(1+$F31)*(1+Assumptions!$B$9)+Assumptions!$B$10,0)</f>
        <v>0</v>
      </c>
      <c r="H31" s="39" t="n">
        <f aca="false">IF(AND($C31&lt;&gt;"",H$5&gt;=$C31,H$5&lt;=$D31),($E31/12)*(1+$F31)*(1+Assumptions!$B$9)+Assumptions!$B$10,0)</f>
        <v>0</v>
      </c>
      <c r="I31" s="39" t="n">
        <f aca="false">IF(AND($C31&lt;&gt;"",I$5&gt;=$C31,I$5&lt;=$D31),($E31/12)*(1+$F31)*(1+Assumptions!$B$9)+Assumptions!$B$10,0)</f>
        <v>0</v>
      </c>
      <c r="J31" s="39" t="n">
        <f aca="false">IF(AND($C31&lt;&gt;"",J$5&gt;=$C31,J$5&lt;=$D31),($E31/12)*(1+$F31)*(1+Assumptions!$B$9)+Assumptions!$B$10,0)</f>
        <v>0</v>
      </c>
      <c r="K31" s="39" t="n">
        <f aca="false">IF(AND($C31&lt;&gt;"",K$5&gt;=$C31,K$5&lt;=$D31),($E31/12)*(1+$F31)*(1+Assumptions!$B$9)+Assumptions!$B$10,0)</f>
        <v>0</v>
      </c>
      <c r="L31" s="39" t="n">
        <f aca="false">IF(AND($C31&lt;&gt;"",L$5&gt;=$C31,L$5&lt;=$D31),($E31/12)*(1+$F31)*(1+Assumptions!$B$9)+Assumptions!$B$10,0)</f>
        <v>0</v>
      </c>
      <c r="M31" s="39" t="n">
        <f aca="false">IF(AND($C31&lt;&gt;"",M$5&gt;=$C31,M$5&lt;=$D31),($E31/12)*(1+$F31)*(1+Assumptions!$B$9)+Assumptions!$B$10,0)</f>
        <v>0</v>
      </c>
      <c r="N31" s="39" t="n">
        <f aca="false">IF(AND($C31&lt;&gt;"",N$5&gt;=$C31,N$5&lt;=$D31),($E31/12)*(1+$F31)*(1+Assumptions!$B$9)+Assumptions!$B$10,0)</f>
        <v>0</v>
      </c>
      <c r="O31" s="39" t="n">
        <f aca="false">IF(AND($C31&lt;&gt;"",O$5&gt;=$C31,O$5&lt;=$D31),($E31/12)*(1+$F31)*(1+Assumptions!$B$9)+Assumptions!$B$10,0)</f>
        <v>0</v>
      </c>
      <c r="P31" s="39" t="n">
        <f aca="false">IF(AND($C31&lt;&gt;"",P$5&gt;=$C31,P$5&lt;=$D31),($E31/12)*(1+$F31)*(1+Assumptions!$B$9)+Assumptions!$B$10,0)</f>
        <v>0</v>
      </c>
      <c r="Q31" s="39" t="n">
        <f aca="false">IF(AND($C31&lt;&gt;"",Q$5&gt;=$C31,Q$5&lt;=$D31),($E31/12)*(1+$F31)*(1+Assumptions!$B$9)+Assumptions!$B$10,0)</f>
        <v>0</v>
      </c>
      <c r="R31" s="39" t="n">
        <f aca="false">IF(AND($C31&lt;&gt;"",R$5&gt;=$C31,R$5&lt;=$D31),($E31/12)*(1+$F31)*(1+Assumptions!$B$9)+Assumptions!$B$10,0)</f>
        <v>0</v>
      </c>
    </row>
    <row r="32" customFormat="false" ht="15" hidden="false" customHeight="false" outlineLevel="0" collapsed="false">
      <c r="A32" s="37"/>
      <c r="B32" s="37"/>
      <c r="C32" s="37"/>
      <c r="D32" s="37"/>
      <c r="E32" s="32"/>
      <c r="F32" s="24"/>
      <c r="G32" s="39" t="n">
        <f aca="false">IF(AND($C32&lt;&gt;"",G$5&gt;=$C32,G$5&lt;=$D32),($E32/12)*(1+$F32)*(1+Assumptions!$B$9)+Assumptions!$B$10,0)</f>
        <v>0</v>
      </c>
      <c r="H32" s="39" t="n">
        <f aca="false">IF(AND($C32&lt;&gt;"",H$5&gt;=$C32,H$5&lt;=$D32),($E32/12)*(1+$F32)*(1+Assumptions!$B$9)+Assumptions!$B$10,0)</f>
        <v>0</v>
      </c>
      <c r="I32" s="39" t="n">
        <f aca="false">IF(AND($C32&lt;&gt;"",I$5&gt;=$C32,I$5&lt;=$D32),($E32/12)*(1+$F32)*(1+Assumptions!$B$9)+Assumptions!$B$10,0)</f>
        <v>0</v>
      </c>
      <c r="J32" s="39" t="n">
        <f aca="false">IF(AND($C32&lt;&gt;"",J$5&gt;=$C32,J$5&lt;=$D32),($E32/12)*(1+$F32)*(1+Assumptions!$B$9)+Assumptions!$B$10,0)</f>
        <v>0</v>
      </c>
      <c r="K32" s="39" t="n">
        <f aca="false">IF(AND($C32&lt;&gt;"",K$5&gt;=$C32,K$5&lt;=$D32),($E32/12)*(1+$F32)*(1+Assumptions!$B$9)+Assumptions!$B$10,0)</f>
        <v>0</v>
      </c>
      <c r="L32" s="39" t="n">
        <f aca="false">IF(AND($C32&lt;&gt;"",L$5&gt;=$C32,L$5&lt;=$D32),($E32/12)*(1+$F32)*(1+Assumptions!$B$9)+Assumptions!$B$10,0)</f>
        <v>0</v>
      </c>
      <c r="M32" s="39" t="n">
        <f aca="false">IF(AND($C32&lt;&gt;"",M$5&gt;=$C32,M$5&lt;=$D32),($E32/12)*(1+$F32)*(1+Assumptions!$B$9)+Assumptions!$B$10,0)</f>
        <v>0</v>
      </c>
      <c r="N32" s="39" t="n">
        <f aca="false">IF(AND($C32&lt;&gt;"",N$5&gt;=$C32,N$5&lt;=$D32),($E32/12)*(1+$F32)*(1+Assumptions!$B$9)+Assumptions!$B$10,0)</f>
        <v>0</v>
      </c>
      <c r="O32" s="39" t="n">
        <f aca="false">IF(AND($C32&lt;&gt;"",O$5&gt;=$C32,O$5&lt;=$D32),($E32/12)*(1+$F32)*(1+Assumptions!$B$9)+Assumptions!$B$10,0)</f>
        <v>0</v>
      </c>
      <c r="P32" s="39" t="n">
        <f aca="false">IF(AND($C32&lt;&gt;"",P$5&gt;=$C32,P$5&lt;=$D32),($E32/12)*(1+$F32)*(1+Assumptions!$B$9)+Assumptions!$B$10,0)</f>
        <v>0</v>
      </c>
      <c r="Q32" s="39" t="n">
        <f aca="false">IF(AND($C32&lt;&gt;"",Q$5&gt;=$C32,Q$5&lt;=$D32),($E32/12)*(1+$F32)*(1+Assumptions!$B$9)+Assumptions!$B$10,0)</f>
        <v>0</v>
      </c>
      <c r="R32" s="39" t="n">
        <f aca="false">IF(AND($C32&lt;&gt;"",R$5&gt;=$C32,R$5&lt;=$D32),($E32/12)*(1+$F32)*(1+Assumptions!$B$9)+Assumptions!$B$10,0)</f>
        <v>0</v>
      </c>
    </row>
    <row r="33" customFormat="false" ht="15" hidden="false" customHeight="false" outlineLevel="0" collapsed="false">
      <c r="A33" s="37"/>
      <c r="B33" s="37"/>
      <c r="C33" s="37"/>
      <c r="D33" s="37"/>
      <c r="E33" s="32"/>
      <c r="F33" s="24"/>
      <c r="G33" s="39" t="n">
        <f aca="false">IF(AND($C33&lt;&gt;"",G$5&gt;=$C33,G$5&lt;=$D33),($E33/12)*(1+$F33)*(1+Assumptions!$B$9)+Assumptions!$B$10,0)</f>
        <v>0</v>
      </c>
      <c r="H33" s="39" t="n">
        <f aca="false">IF(AND($C33&lt;&gt;"",H$5&gt;=$C33,H$5&lt;=$D33),($E33/12)*(1+$F33)*(1+Assumptions!$B$9)+Assumptions!$B$10,0)</f>
        <v>0</v>
      </c>
      <c r="I33" s="39" t="n">
        <f aca="false">IF(AND($C33&lt;&gt;"",I$5&gt;=$C33,I$5&lt;=$D33),($E33/12)*(1+$F33)*(1+Assumptions!$B$9)+Assumptions!$B$10,0)</f>
        <v>0</v>
      </c>
      <c r="J33" s="39" t="n">
        <f aca="false">IF(AND($C33&lt;&gt;"",J$5&gt;=$C33,J$5&lt;=$D33),($E33/12)*(1+$F33)*(1+Assumptions!$B$9)+Assumptions!$B$10,0)</f>
        <v>0</v>
      </c>
      <c r="K33" s="39" t="n">
        <f aca="false">IF(AND($C33&lt;&gt;"",K$5&gt;=$C33,K$5&lt;=$D33),($E33/12)*(1+$F33)*(1+Assumptions!$B$9)+Assumptions!$B$10,0)</f>
        <v>0</v>
      </c>
      <c r="L33" s="39" t="n">
        <f aca="false">IF(AND($C33&lt;&gt;"",L$5&gt;=$C33,L$5&lt;=$D33),($E33/12)*(1+$F33)*(1+Assumptions!$B$9)+Assumptions!$B$10,0)</f>
        <v>0</v>
      </c>
      <c r="M33" s="39" t="n">
        <f aca="false">IF(AND($C33&lt;&gt;"",M$5&gt;=$C33,M$5&lt;=$D33),($E33/12)*(1+$F33)*(1+Assumptions!$B$9)+Assumptions!$B$10,0)</f>
        <v>0</v>
      </c>
      <c r="N33" s="39" t="n">
        <f aca="false">IF(AND($C33&lt;&gt;"",N$5&gt;=$C33,N$5&lt;=$D33),($E33/12)*(1+$F33)*(1+Assumptions!$B$9)+Assumptions!$B$10,0)</f>
        <v>0</v>
      </c>
      <c r="O33" s="39" t="n">
        <f aca="false">IF(AND($C33&lt;&gt;"",O$5&gt;=$C33,O$5&lt;=$D33),($E33/12)*(1+$F33)*(1+Assumptions!$B$9)+Assumptions!$B$10,0)</f>
        <v>0</v>
      </c>
      <c r="P33" s="39" t="n">
        <f aca="false">IF(AND($C33&lt;&gt;"",P$5&gt;=$C33,P$5&lt;=$D33),($E33/12)*(1+$F33)*(1+Assumptions!$B$9)+Assumptions!$B$10,0)</f>
        <v>0</v>
      </c>
      <c r="Q33" s="39" t="n">
        <f aca="false">IF(AND($C33&lt;&gt;"",Q$5&gt;=$C33,Q$5&lt;=$D33),($E33/12)*(1+$F33)*(1+Assumptions!$B$9)+Assumptions!$B$10,0)</f>
        <v>0</v>
      </c>
      <c r="R33" s="39" t="n">
        <f aca="false">IF(AND($C33&lt;&gt;"",R$5&gt;=$C33,R$5&lt;=$D33),($E33/12)*(1+$F33)*(1+Assumptions!$B$9)+Assumptions!$B$10,0)</f>
        <v>0</v>
      </c>
    </row>
    <row r="34" customFormat="false" ht="15" hidden="false" customHeight="false" outlineLevel="0" collapsed="false">
      <c r="A34" s="37"/>
      <c r="B34" s="37"/>
      <c r="C34" s="37"/>
      <c r="D34" s="37"/>
      <c r="E34" s="32"/>
      <c r="F34" s="24"/>
      <c r="G34" s="39" t="n">
        <f aca="false">IF(AND($C34&lt;&gt;"",G$5&gt;=$C34,G$5&lt;=$D34),($E34/12)*(1+$F34)*(1+Assumptions!$B$9)+Assumptions!$B$10,0)</f>
        <v>0</v>
      </c>
      <c r="H34" s="39" t="n">
        <f aca="false">IF(AND($C34&lt;&gt;"",H$5&gt;=$C34,H$5&lt;=$D34),($E34/12)*(1+$F34)*(1+Assumptions!$B$9)+Assumptions!$B$10,0)</f>
        <v>0</v>
      </c>
      <c r="I34" s="39" t="n">
        <f aca="false">IF(AND($C34&lt;&gt;"",I$5&gt;=$C34,I$5&lt;=$D34),($E34/12)*(1+$F34)*(1+Assumptions!$B$9)+Assumptions!$B$10,0)</f>
        <v>0</v>
      </c>
      <c r="J34" s="39" t="n">
        <f aca="false">IF(AND($C34&lt;&gt;"",J$5&gt;=$C34,J$5&lt;=$D34),($E34/12)*(1+$F34)*(1+Assumptions!$B$9)+Assumptions!$B$10,0)</f>
        <v>0</v>
      </c>
      <c r="K34" s="39" t="n">
        <f aca="false">IF(AND($C34&lt;&gt;"",K$5&gt;=$C34,K$5&lt;=$D34),($E34/12)*(1+$F34)*(1+Assumptions!$B$9)+Assumptions!$B$10,0)</f>
        <v>0</v>
      </c>
      <c r="L34" s="39" t="n">
        <f aca="false">IF(AND($C34&lt;&gt;"",L$5&gt;=$C34,L$5&lt;=$D34),($E34/12)*(1+$F34)*(1+Assumptions!$B$9)+Assumptions!$B$10,0)</f>
        <v>0</v>
      </c>
      <c r="M34" s="39" t="n">
        <f aca="false">IF(AND($C34&lt;&gt;"",M$5&gt;=$C34,M$5&lt;=$D34),($E34/12)*(1+$F34)*(1+Assumptions!$B$9)+Assumptions!$B$10,0)</f>
        <v>0</v>
      </c>
      <c r="N34" s="39" t="n">
        <f aca="false">IF(AND($C34&lt;&gt;"",N$5&gt;=$C34,N$5&lt;=$D34),($E34/12)*(1+$F34)*(1+Assumptions!$B$9)+Assumptions!$B$10,0)</f>
        <v>0</v>
      </c>
      <c r="O34" s="39" t="n">
        <f aca="false">IF(AND($C34&lt;&gt;"",O$5&gt;=$C34,O$5&lt;=$D34),($E34/12)*(1+$F34)*(1+Assumptions!$B$9)+Assumptions!$B$10,0)</f>
        <v>0</v>
      </c>
      <c r="P34" s="39" t="n">
        <f aca="false">IF(AND($C34&lt;&gt;"",P$5&gt;=$C34,P$5&lt;=$D34),($E34/12)*(1+$F34)*(1+Assumptions!$B$9)+Assumptions!$B$10,0)</f>
        <v>0</v>
      </c>
      <c r="Q34" s="39" t="n">
        <f aca="false">IF(AND($C34&lt;&gt;"",Q$5&gt;=$C34,Q$5&lt;=$D34),($E34/12)*(1+$F34)*(1+Assumptions!$B$9)+Assumptions!$B$10,0)</f>
        <v>0</v>
      </c>
      <c r="R34" s="39" t="n">
        <f aca="false">IF(AND($C34&lt;&gt;"",R$5&gt;=$C34,R$5&lt;=$D34),($E34/12)*(1+$F34)*(1+Assumptions!$B$9)+Assumptions!$B$10,0)</f>
        <v>0</v>
      </c>
    </row>
    <row r="35" customFormat="false" ht="15" hidden="false" customHeight="false" outlineLevel="0" collapsed="false">
      <c r="A35" s="37"/>
      <c r="B35" s="37"/>
      <c r="C35" s="37"/>
      <c r="D35" s="37"/>
      <c r="E35" s="32"/>
      <c r="F35" s="24"/>
      <c r="G35" s="39" t="n">
        <f aca="false">IF(AND($C35&lt;&gt;"",G$5&gt;=$C35,G$5&lt;=$D35),($E35/12)*(1+$F35)*(1+Assumptions!$B$9)+Assumptions!$B$10,0)</f>
        <v>0</v>
      </c>
      <c r="H35" s="39" t="n">
        <f aca="false">IF(AND($C35&lt;&gt;"",H$5&gt;=$C35,H$5&lt;=$D35),($E35/12)*(1+$F35)*(1+Assumptions!$B$9)+Assumptions!$B$10,0)</f>
        <v>0</v>
      </c>
      <c r="I35" s="39" t="n">
        <f aca="false">IF(AND($C35&lt;&gt;"",I$5&gt;=$C35,I$5&lt;=$D35),($E35/12)*(1+$F35)*(1+Assumptions!$B$9)+Assumptions!$B$10,0)</f>
        <v>0</v>
      </c>
      <c r="J35" s="39" t="n">
        <f aca="false">IF(AND($C35&lt;&gt;"",J$5&gt;=$C35,J$5&lt;=$D35),($E35/12)*(1+$F35)*(1+Assumptions!$B$9)+Assumptions!$B$10,0)</f>
        <v>0</v>
      </c>
      <c r="K35" s="39" t="n">
        <f aca="false">IF(AND($C35&lt;&gt;"",K$5&gt;=$C35,K$5&lt;=$D35),($E35/12)*(1+$F35)*(1+Assumptions!$B$9)+Assumptions!$B$10,0)</f>
        <v>0</v>
      </c>
      <c r="L35" s="39" t="n">
        <f aca="false">IF(AND($C35&lt;&gt;"",L$5&gt;=$C35,L$5&lt;=$D35),($E35/12)*(1+$F35)*(1+Assumptions!$B$9)+Assumptions!$B$10,0)</f>
        <v>0</v>
      </c>
      <c r="M35" s="39" t="n">
        <f aca="false">IF(AND($C35&lt;&gt;"",M$5&gt;=$C35,M$5&lt;=$D35),($E35/12)*(1+$F35)*(1+Assumptions!$B$9)+Assumptions!$B$10,0)</f>
        <v>0</v>
      </c>
      <c r="N35" s="39" t="n">
        <f aca="false">IF(AND($C35&lt;&gt;"",N$5&gt;=$C35,N$5&lt;=$D35),($E35/12)*(1+$F35)*(1+Assumptions!$B$9)+Assumptions!$B$10,0)</f>
        <v>0</v>
      </c>
      <c r="O35" s="39" t="n">
        <f aca="false">IF(AND($C35&lt;&gt;"",O$5&gt;=$C35,O$5&lt;=$D35),($E35/12)*(1+$F35)*(1+Assumptions!$B$9)+Assumptions!$B$10,0)</f>
        <v>0</v>
      </c>
      <c r="P35" s="39" t="n">
        <f aca="false">IF(AND($C35&lt;&gt;"",P$5&gt;=$C35,P$5&lt;=$D35),($E35/12)*(1+$F35)*(1+Assumptions!$B$9)+Assumptions!$B$10,0)</f>
        <v>0</v>
      </c>
      <c r="Q35" s="39" t="n">
        <f aca="false">IF(AND($C35&lt;&gt;"",Q$5&gt;=$C35,Q$5&lt;=$D35),($E35/12)*(1+$F35)*(1+Assumptions!$B$9)+Assumptions!$B$10,0)</f>
        <v>0</v>
      </c>
      <c r="R35" s="39" t="n">
        <f aca="false">IF(AND($C35&lt;&gt;"",R$5&gt;=$C35,R$5&lt;=$D35),($E35/12)*(1+$F35)*(1+Assumptions!$B$9)+Assumptions!$B$10,0)</f>
        <v>0</v>
      </c>
    </row>
    <row r="37" customFormat="false" ht="15" hidden="false" customHeight="false" outlineLevel="0" collapsed="false">
      <c r="A37" s="5" t="s">
        <v>176</v>
      </c>
      <c r="G37" s="40" t="n">
        <f aca="false">SUM(G6:G35)</f>
        <v>219321.00625</v>
      </c>
      <c r="H37" s="40" t="n">
        <f aca="false">SUM(H6:H35)</f>
        <v>236947.08125</v>
      </c>
      <c r="I37" s="40" t="n">
        <f aca="false">SUM(I6:I35)</f>
        <v>253075.33125</v>
      </c>
      <c r="J37" s="40" t="n">
        <f aca="false">SUM(J6:J35)</f>
        <v>270701.40625</v>
      </c>
      <c r="K37" s="40" t="n">
        <f aca="false">SUM(K6:K35)</f>
        <v>291267.65625</v>
      </c>
      <c r="L37" s="40" t="n">
        <f aca="false">SUM(L6:L35)</f>
        <v>302033.322916667</v>
      </c>
      <c r="M37" s="40" t="n">
        <f aca="false">SUM(M6:M35)</f>
        <v>318161.572916667</v>
      </c>
      <c r="N37" s="40" t="n">
        <f aca="false">SUM(N6:N35)</f>
        <v>329505.104166667</v>
      </c>
      <c r="O37" s="40" t="n">
        <f aca="false">SUM(O6:O35)</f>
        <v>340141.329166667</v>
      </c>
      <c r="P37" s="40" t="n">
        <f aca="false">SUM(P6:P35)</f>
        <v>340141.329166667</v>
      </c>
      <c r="Q37" s="40" t="n">
        <f aca="false">SUM(Q6:Q35)</f>
        <v>340141.329166667</v>
      </c>
      <c r="R37" s="40" t="n">
        <f aca="false">SUM(R6:R35)</f>
        <v>340141.329166667</v>
      </c>
      <c r="S37" s="40" t="n">
        <f aca="false">SUM(G37:R37)</f>
        <v>3581577.79791667</v>
      </c>
    </row>
    <row r="38" customFormat="false" ht="15" hidden="false" customHeight="false" outlineLevel="0" collapsed="false">
      <c r="A38" s="5" t="s">
        <v>177</v>
      </c>
      <c r="G38" s="41" t="n">
        <f aca="false">COUNTIF(G6:G35,"&gt;0")</f>
        <v>12</v>
      </c>
      <c r="H38" s="41" t="n">
        <f aca="false">COUNTIF(H6:H35,"&gt;0")</f>
        <v>13</v>
      </c>
      <c r="I38" s="41" t="n">
        <f aca="false">COUNTIF(I6:I35,"&gt;0")</f>
        <v>14</v>
      </c>
      <c r="J38" s="41" t="n">
        <f aca="false">COUNTIF(J6:J35,"&gt;0")</f>
        <v>15</v>
      </c>
      <c r="K38" s="41" t="n">
        <f aca="false">COUNTIF(K6:K35,"&gt;0")</f>
        <v>16</v>
      </c>
      <c r="L38" s="41" t="n">
        <f aca="false">COUNTIF(L6:L35,"&gt;0")</f>
        <v>17</v>
      </c>
      <c r="M38" s="41" t="n">
        <f aca="false">COUNTIF(M6:M35,"&gt;0")</f>
        <v>18</v>
      </c>
      <c r="N38" s="41" t="n">
        <f aca="false">COUNTIF(N6:N35,"&gt;0")</f>
        <v>19</v>
      </c>
      <c r="O38" s="41" t="n">
        <f aca="false">COUNTIF(O6:O35,"&gt;0")</f>
        <v>20</v>
      </c>
      <c r="P38" s="41" t="n">
        <f aca="false">COUNTIF(P6:P35,"&gt;0")</f>
        <v>20</v>
      </c>
      <c r="Q38" s="41" t="n">
        <f aca="false">COUNTIF(Q6:Q35,"&gt;0")</f>
        <v>20</v>
      </c>
      <c r="R38" s="41" t="n">
        <f aca="false">COUNTIF(R6:R35,"&gt;0")</f>
        <v>20</v>
      </c>
    </row>
    <row r="40" customFormat="false" ht="15" hidden="false" customHeight="false" outlineLevel="0" collapsed="false">
      <c r="A40" s="9" t="s">
        <v>178</v>
      </c>
    </row>
    <row r="41" customFormat="false" ht="15" hidden="false" customHeight="false" outlineLevel="0" collapsed="false">
      <c r="A41" s="9" t="s">
        <v>179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14" min="2" style="0" width="13"/>
  </cols>
  <sheetData>
    <row r="1" customFormat="false" ht="17.35" hidden="false" customHeight="false" outlineLevel="0" collapsed="false">
      <c r="A1" s="14" t="s">
        <v>180</v>
      </c>
    </row>
    <row r="2" customFormat="false" ht="15" hidden="false" customHeight="false" outlineLevel="0" collapsed="false">
      <c r="A2" s="21" t="s">
        <v>181</v>
      </c>
    </row>
    <row r="4" customFormat="false" ht="15" hidden="false" customHeight="false" outlineLevel="0" collapsed="false">
      <c r="B4" s="35" t="s">
        <v>142</v>
      </c>
      <c r="C4" s="35" t="s">
        <v>143</v>
      </c>
      <c r="D4" s="35" t="s">
        <v>144</v>
      </c>
      <c r="E4" s="35" t="s">
        <v>145</v>
      </c>
      <c r="F4" s="35" t="s">
        <v>146</v>
      </c>
      <c r="G4" s="35" t="s">
        <v>147</v>
      </c>
      <c r="H4" s="35" t="s">
        <v>148</v>
      </c>
      <c r="I4" s="35" t="s">
        <v>149</v>
      </c>
      <c r="J4" s="35" t="s">
        <v>150</v>
      </c>
      <c r="K4" s="35" t="s">
        <v>151</v>
      </c>
      <c r="L4" s="35" t="s">
        <v>152</v>
      </c>
      <c r="M4" s="35" t="s">
        <v>153</v>
      </c>
      <c r="N4" s="35" t="s">
        <v>154</v>
      </c>
    </row>
    <row r="5" customFormat="false" ht="15" hidden="false" customHeight="false" outlineLevel="0" collapsed="false">
      <c r="A5" s="3" t="s">
        <v>182</v>
      </c>
      <c r="B5" s="4"/>
      <c r="C5" s="4"/>
      <c r="D5" s="4"/>
      <c r="E5" s="4"/>
      <c r="F5" s="4"/>
      <c r="G5" s="4"/>
      <c r="H5" s="4"/>
      <c r="I5" s="4"/>
      <c r="J5" s="4"/>
      <c r="K5" s="4"/>
      <c r="L5" s="4"/>
      <c r="M5" s="4"/>
      <c r="N5" s="4"/>
    </row>
    <row r="6" customFormat="false" ht="15" hidden="false" customHeight="false" outlineLevel="0" collapsed="false">
      <c r="A6" s="42" t="s">
        <v>183</v>
      </c>
      <c r="B6" s="32" t="n">
        <v>2400000</v>
      </c>
      <c r="C6" s="39" t="n">
        <f aca="false">B10</f>
        <v>2487800</v>
      </c>
      <c r="D6" s="39" t="n">
        <f aca="false">C10</f>
        <v>2585336.6</v>
      </c>
      <c r="E6" s="39" t="n">
        <f aca="false">D10</f>
        <v>2697580.5902</v>
      </c>
      <c r="F6" s="39" t="n">
        <f aca="false">E10</f>
        <v>2814487.8484294</v>
      </c>
      <c r="G6" s="39" t="n">
        <f aca="false">F10</f>
        <v>2941044.38488411</v>
      </c>
      <c r="H6" s="39" t="n">
        <f aca="false">G10</f>
        <v>3082221.25172946</v>
      </c>
      <c r="I6" s="39" t="n">
        <f aca="false">H10</f>
        <v>3227974.58797427</v>
      </c>
      <c r="J6" s="39" t="n">
        <f aca="false">I10</f>
        <v>3383290.66421035</v>
      </c>
      <c r="K6" s="39" t="n">
        <f aca="false">J10</f>
        <v>3553140.79221772</v>
      </c>
      <c r="L6" s="39" t="n">
        <f aca="false">K10</f>
        <v>3732481.36984107</v>
      </c>
      <c r="M6" s="39" t="n">
        <f aca="false">L10</f>
        <v>3921283.92573154</v>
      </c>
    </row>
    <row r="7" customFormat="false" ht="15" hidden="false" customHeight="false" outlineLevel="0" collapsed="false">
      <c r="A7" s="42" t="s">
        <v>184</v>
      </c>
      <c r="B7" s="32" t="n">
        <v>95000</v>
      </c>
      <c r="C7" s="32" t="n">
        <v>105000</v>
      </c>
      <c r="D7" s="32" t="n">
        <v>120000</v>
      </c>
      <c r="E7" s="32" t="n">
        <v>125000</v>
      </c>
      <c r="F7" s="32" t="n">
        <v>135000</v>
      </c>
      <c r="G7" s="32" t="n">
        <v>150000</v>
      </c>
      <c r="H7" s="32" t="n">
        <v>155000</v>
      </c>
      <c r="I7" s="32" t="n">
        <v>165000</v>
      </c>
      <c r="J7" s="32" t="n">
        <v>180000</v>
      </c>
      <c r="K7" s="32" t="n">
        <v>190000</v>
      </c>
      <c r="L7" s="32" t="n">
        <v>200000</v>
      </c>
      <c r="M7" s="32" t="n">
        <v>215000</v>
      </c>
      <c r="N7" s="33" t="n">
        <f aca="false">SUM(B7:M7)</f>
        <v>1835000</v>
      </c>
    </row>
    <row r="8" customFormat="false" ht="15" hidden="false" customHeight="false" outlineLevel="0" collapsed="false">
      <c r="A8" s="42" t="s">
        <v>185</v>
      </c>
      <c r="B8" s="39" t="n">
        <f aca="false">B6*0.008</f>
        <v>19200</v>
      </c>
      <c r="C8" s="39" t="n">
        <f aca="false">C6*0.008</f>
        <v>19902.4</v>
      </c>
      <c r="D8" s="39" t="n">
        <f aca="false">D6*0.008</f>
        <v>20682.6928</v>
      </c>
      <c r="E8" s="39" t="n">
        <f aca="false">E6*0.008</f>
        <v>21580.6447216</v>
      </c>
      <c r="F8" s="39" t="n">
        <f aca="false">F6*0.008</f>
        <v>22515.9027874352</v>
      </c>
      <c r="G8" s="39" t="n">
        <f aca="false">G6*0.008</f>
        <v>23528.3550790729</v>
      </c>
      <c r="H8" s="39" t="n">
        <f aca="false">H6*0.008</f>
        <v>24657.7700138357</v>
      </c>
      <c r="I8" s="39" t="n">
        <f aca="false">I6*0.008</f>
        <v>25823.7967037942</v>
      </c>
      <c r="J8" s="39" t="n">
        <f aca="false">J6*0.008</f>
        <v>27066.3253136828</v>
      </c>
      <c r="K8" s="39" t="n">
        <f aca="false">K6*0.008</f>
        <v>28425.1263377417</v>
      </c>
      <c r="L8" s="39" t="n">
        <f aca="false">L6*0.008</f>
        <v>29859.8509587285</v>
      </c>
      <c r="M8" s="39" t="n">
        <f aca="false">M6*0.008</f>
        <v>31370.2714058523</v>
      </c>
      <c r="N8" s="33" t="n">
        <f aca="false">SUM(B8:M8)</f>
        <v>294613.136121743</v>
      </c>
    </row>
    <row r="9" customFormat="false" ht="15" hidden="false" customHeight="false" outlineLevel="0" collapsed="false">
      <c r="A9" s="42" t="s">
        <v>186</v>
      </c>
      <c r="B9" s="39" t="n">
        <f aca="false">-B6*0.011</f>
        <v>-26400</v>
      </c>
      <c r="C9" s="39" t="n">
        <f aca="false">-C6*0.011</f>
        <v>-27365.8</v>
      </c>
      <c r="D9" s="39" t="n">
        <f aca="false">-D6*0.011</f>
        <v>-28438.7026</v>
      </c>
      <c r="E9" s="39" t="n">
        <f aca="false">-E6*0.011</f>
        <v>-29673.3864922</v>
      </c>
      <c r="F9" s="39" t="n">
        <f aca="false">-F6*0.011</f>
        <v>-30959.3663327234</v>
      </c>
      <c r="G9" s="39" t="n">
        <f aca="false">-G6*0.011</f>
        <v>-32351.4882337252</v>
      </c>
      <c r="H9" s="39" t="n">
        <f aca="false">-H6*0.011</f>
        <v>-33904.4337690241</v>
      </c>
      <c r="I9" s="39" t="n">
        <f aca="false">-I6*0.011</f>
        <v>-35507.720467717</v>
      </c>
      <c r="J9" s="39" t="n">
        <f aca="false">-J6*0.011</f>
        <v>-37216.1973063138</v>
      </c>
      <c r="K9" s="39" t="n">
        <f aca="false">-K6*0.011</f>
        <v>-39084.5487143949</v>
      </c>
      <c r="L9" s="39" t="n">
        <f aca="false">-L6*0.011</f>
        <v>-41057.2950682517</v>
      </c>
      <c r="M9" s="39" t="n">
        <f aca="false">-M6*0.011</f>
        <v>-43134.123183047</v>
      </c>
      <c r="N9" s="33" t="n">
        <f aca="false">SUM(B9:M9)</f>
        <v>-405093.062167397</v>
      </c>
    </row>
    <row r="10" customFormat="false" ht="15" hidden="false" customHeight="false" outlineLevel="0" collapsed="false">
      <c r="A10" s="43" t="s">
        <v>187</v>
      </c>
      <c r="B10" s="40" t="n">
        <f aca="false">SUM(B6:B9)</f>
        <v>2487800</v>
      </c>
      <c r="C10" s="40" t="n">
        <f aca="false">SUM(C6:C9)</f>
        <v>2585336.6</v>
      </c>
      <c r="D10" s="40" t="n">
        <f aca="false">SUM(D6:D9)</f>
        <v>2697580.5902</v>
      </c>
      <c r="E10" s="40" t="n">
        <f aca="false">SUM(E6:E9)</f>
        <v>2814487.8484294</v>
      </c>
      <c r="F10" s="40" t="n">
        <f aca="false">SUM(F6:F9)</f>
        <v>2941044.38488411</v>
      </c>
      <c r="G10" s="40" t="n">
        <f aca="false">SUM(G6:G9)</f>
        <v>3082221.25172946</v>
      </c>
      <c r="H10" s="40" t="n">
        <f aca="false">SUM(H6:H9)</f>
        <v>3227974.58797427</v>
      </c>
      <c r="I10" s="40" t="n">
        <f aca="false">SUM(I6:I9)</f>
        <v>3383290.66421035</v>
      </c>
      <c r="J10" s="40" t="n">
        <f aca="false">SUM(J6:J9)</f>
        <v>3553140.79221772</v>
      </c>
      <c r="K10" s="40" t="n">
        <f aca="false">SUM(K6:K9)</f>
        <v>3732481.36984107</v>
      </c>
      <c r="L10" s="40" t="n">
        <f aca="false">SUM(L6:L9)</f>
        <v>3921283.92573154</v>
      </c>
      <c r="M10" s="40" t="n">
        <f aca="false">SUM(M6:M9)</f>
        <v>4124520.07395435</v>
      </c>
    </row>
    <row r="12" customFormat="false" ht="15" hidden="false" customHeight="false" outlineLevel="0" collapsed="false">
      <c r="A12" s="3" t="s">
        <v>188</v>
      </c>
      <c r="B12" s="4"/>
      <c r="C12" s="4"/>
      <c r="D12" s="4"/>
      <c r="E12" s="4"/>
      <c r="F12" s="4"/>
      <c r="G12" s="4"/>
      <c r="H12" s="4"/>
      <c r="I12" s="4"/>
      <c r="J12" s="4"/>
      <c r="K12" s="4"/>
      <c r="L12" s="4"/>
      <c r="M12" s="4"/>
      <c r="N12" s="4"/>
    </row>
    <row r="13" customFormat="false" ht="15" hidden="false" customHeight="false" outlineLevel="0" collapsed="false">
      <c r="A13" s="42" t="s">
        <v>189</v>
      </c>
      <c r="B13" s="39" t="n">
        <f aca="false">AVERAGE(B6,B10)/12</f>
        <v>203658.333333333</v>
      </c>
      <c r="C13" s="39" t="n">
        <f aca="false">AVERAGE(C6,C10)/12</f>
        <v>211380.691666667</v>
      </c>
      <c r="D13" s="39" t="n">
        <f aca="false">AVERAGE(D6,D10)/12</f>
        <v>220121.549591667</v>
      </c>
      <c r="E13" s="39" t="n">
        <f aca="false">AVERAGE(E6,E10)/12</f>
        <v>229669.518276225</v>
      </c>
      <c r="F13" s="39" t="n">
        <f aca="false">AVERAGE(F6,F10)/12</f>
        <v>239813.84305473</v>
      </c>
      <c r="G13" s="39" t="n">
        <f aca="false">AVERAGE(G6,G10)/12</f>
        <v>250969.401525566</v>
      </c>
      <c r="H13" s="39" t="n">
        <f aca="false">AVERAGE(H6,H10)/12</f>
        <v>262924.826654322</v>
      </c>
      <c r="I13" s="39" t="n">
        <f aca="false">AVERAGE(I6,I10)/12</f>
        <v>275469.385507693</v>
      </c>
      <c r="J13" s="39" t="n">
        <f aca="false">AVERAGE(J6,J10)/12</f>
        <v>289017.977351169</v>
      </c>
      <c r="K13" s="39" t="n">
        <f aca="false">AVERAGE(K6,K10)/12</f>
        <v>303567.590085783</v>
      </c>
      <c r="L13" s="39" t="n">
        <f aca="false">AVERAGE(L6,L10)/12</f>
        <v>318906.887315525</v>
      </c>
      <c r="M13" s="39" t="n">
        <f aca="false">AVERAGE(M6,M10)/12</f>
        <v>335241.833320245</v>
      </c>
      <c r="N13" s="33" t="n">
        <f aca="false">SUM(B13:M13)</f>
        <v>3140741.83768292</v>
      </c>
    </row>
    <row r="14" customFormat="false" ht="15" hidden="false" customHeight="false" outlineLevel="0" collapsed="false">
      <c r="A14" s="42" t="s">
        <v>190</v>
      </c>
      <c r="B14" s="32" t="n">
        <v>18000</v>
      </c>
      <c r="C14" s="32" t="n">
        <v>18000</v>
      </c>
      <c r="D14" s="32" t="n">
        <v>18000</v>
      </c>
      <c r="E14" s="32" t="n">
        <v>18000</v>
      </c>
      <c r="F14" s="32" t="n">
        <v>18000</v>
      </c>
      <c r="G14" s="32" t="n">
        <v>18000</v>
      </c>
      <c r="H14" s="32" t="n">
        <v>18000</v>
      </c>
      <c r="I14" s="32" t="n">
        <v>18000</v>
      </c>
      <c r="J14" s="32" t="n">
        <v>18000</v>
      </c>
      <c r="K14" s="32" t="n">
        <v>18000</v>
      </c>
      <c r="L14" s="32" t="n">
        <v>18000</v>
      </c>
      <c r="M14" s="32" t="n">
        <v>18000</v>
      </c>
      <c r="N14" s="33" t="n">
        <f aca="false">SUM(B14:M14)</f>
        <v>216000</v>
      </c>
    </row>
    <row r="15" customFormat="false" ht="15" hidden="false" customHeight="false" outlineLevel="0" collapsed="false">
      <c r="A15" s="43" t="s">
        <v>191</v>
      </c>
      <c r="B15" s="40" t="n">
        <f aca="false">B13+B14</f>
        <v>221658.333333333</v>
      </c>
      <c r="C15" s="40" t="n">
        <f aca="false">C13+C14</f>
        <v>229380.691666667</v>
      </c>
      <c r="D15" s="40" t="n">
        <f aca="false">D13+D14</f>
        <v>238121.549591667</v>
      </c>
      <c r="E15" s="40" t="n">
        <f aca="false">E13+E14</f>
        <v>247669.518276225</v>
      </c>
      <c r="F15" s="40" t="n">
        <f aca="false">F13+F14</f>
        <v>257813.84305473</v>
      </c>
      <c r="G15" s="40" t="n">
        <f aca="false">G13+G14</f>
        <v>268969.401525566</v>
      </c>
      <c r="H15" s="40" t="n">
        <f aca="false">H13+H14</f>
        <v>280924.826654322</v>
      </c>
      <c r="I15" s="40" t="n">
        <f aca="false">I13+I14</f>
        <v>293469.385507693</v>
      </c>
      <c r="J15" s="40" t="n">
        <f aca="false">J13+J14</f>
        <v>307017.977351169</v>
      </c>
      <c r="K15" s="40" t="n">
        <f aca="false">K13+K14</f>
        <v>321567.590085783</v>
      </c>
      <c r="L15" s="40" t="n">
        <f aca="false">L13+L14</f>
        <v>336906.887315525</v>
      </c>
      <c r="M15" s="40" t="n">
        <f aca="false">M13+M14</f>
        <v>353241.833320245</v>
      </c>
      <c r="N15" s="40" t="n">
        <f aca="false">SUM(B15:M15)</f>
        <v>3356741.83768292</v>
      </c>
    </row>
    <row r="17" customFormat="false" ht="15" hidden="false" customHeight="false" outlineLevel="0" collapsed="false">
      <c r="A17" s="3" t="s">
        <v>192</v>
      </c>
      <c r="B17" s="4"/>
      <c r="C17" s="4"/>
      <c r="D17" s="4"/>
      <c r="E17" s="4"/>
      <c r="F17" s="4"/>
      <c r="G17" s="4"/>
      <c r="H17" s="4"/>
      <c r="I17" s="4"/>
      <c r="J17" s="4"/>
      <c r="K17" s="4"/>
      <c r="L17" s="4"/>
      <c r="M17" s="4"/>
      <c r="N17" s="4"/>
    </row>
    <row r="18" customFormat="false" ht="15" hidden="false" customHeight="false" outlineLevel="0" collapsed="false">
      <c r="A18" s="42" t="s">
        <v>193</v>
      </c>
      <c r="B18" s="39" t="n">
        <f aca="false">B15*Assumptions!$B$17</f>
        <v>15516.0833333333</v>
      </c>
      <c r="C18" s="39" t="n">
        <f aca="false">C15*Assumptions!$B$17</f>
        <v>16056.6484166667</v>
      </c>
      <c r="D18" s="39" t="n">
        <f aca="false">D15*Assumptions!$B$17</f>
        <v>16668.5084714167</v>
      </c>
      <c r="E18" s="39" t="n">
        <f aca="false">E15*Assumptions!$B$17</f>
        <v>17336.8662793358</v>
      </c>
      <c r="F18" s="39" t="n">
        <f aca="false">F15*Assumptions!$B$17</f>
        <v>18046.9690138311</v>
      </c>
      <c r="G18" s="39" t="n">
        <f aca="false">G15*Assumptions!$B$17</f>
        <v>18827.8581067896</v>
      </c>
      <c r="H18" s="39" t="n">
        <f aca="false">H15*Assumptions!$B$17</f>
        <v>19664.7378658026</v>
      </c>
      <c r="I18" s="39" t="n">
        <f aca="false">I15*Assumptions!$B$17</f>
        <v>20542.8569855385</v>
      </c>
      <c r="J18" s="39" t="n">
        <f aca="false">J15*Assumptions!$B$17</f>
        <v>21491.2584145819</v>
      </c>
      <c r="K18" s="39" t="n">
        <f aca="false">K15*Assumptions!$B$17</f>
        <v>22509.7313060048</v>
      </c>
      <c r="L18" s="39" t="n">
        <f aca="false">L15*Assumptions!$B$17</f>
        <v>23583.4821120868</v>
      </c>
      <c r="M18" s="39" t="n">
        <f aca="false">M15*Assumptions!$B$17</f>
        <v>24726.9283324172</v>
      </c>
      <c r="N18" s="33" t="n">
        <f aca="false">SUM(B18:M18)</f>
        <v>234971.928637805</v>
      </c>
    </row>
    <row r="19" customFormat="false" ht="15" hidden="false" customHeight="false" outlineLevel="0" collapsed="false">
      <c r="A19" s="42" t="s">
        <v>194</v>
      </c>
      <c r="B19" s="39" t="n">
        <f aca="false">B15*Assumptions!$B$18</f>
        <v>5541.45833333333</v>
      </c>
      <c r="C19" s="39" t="n">
        <f aca="false">C15*Assumptions!$B$18</f>
        <v>5734.51729166667</v>
      </c>
      <c r="D19" s="39" t="n">
        <f aca="false">D15*Assumptions!$B$18</f>
        <v>5953.03873979167</v>
      </c>
      <c r="E19" s="39" t="n">
        <f aca="false">E15*Assumptions!$B$18</f>
        <v>6191.73795690563</v>
      </c>
      <c r="F19" s="39" t="n">
        <f aca="false">F15*Assumptions!$B$18</f>
        <v>6445.34607636824</v>
      </c>
      <c r="G19" s="39" t="n">
        <f aca="false">G15*Assumptions!$B$18</f>
        <v>6724.23503813914</v>
      </c>
      <c r="H19" s="39" t="n">
        <f aca="false">H15*Assumptions!$B$18</f>
        <v>7023.12066635805</v>
      </c>
      <c r="I19" s="39" t="n">
        <f aca="false">I15*Assumptions!$B$18</f>
        <v>7336.73463769231</v>
      </c>
      <c r="J19" s="39" t="n">
        <f aca="false">J15*Assumptions!$B$18</f>
        <v>7675.44943377924</v>
      </c>
      <c r="K19" s="39" t="n">
        <f aca="false">K15*Assumptions!$B$18</f>
        <v>8039.18975214456</v>
      </c>
      <c r="L19" s="39" t="n">
        <f aca="false">L15*Assumptions!$B$18</f>
        <v>8422.67218288813</v>
      </c>
      <c r="M19" s="39" t="n">
        <f aca="false">M15*Assumptions!$B$18</f>
        <v>8831.04583300614</v>
      </c>
      <c r="N19" s="33" t="n">
        <f aca="false">SUM(B19:M19)</f>
        <v>83918.5459420731</v>
      </c>
    </row>
    <row r="20" customFormat="false" ht="15" hidden="false" customHeight="false" outlineLevel="0" collapsed="false">
      <c r="A20" s="42" t="s">
        <v>195</v>
      </c>
      <c r="B20" s="44" t="n">
        <f aca="false">SUMIF(Headcount!$A$6:$A$35,"Support (COGS)",Headcount!G$6:G$35)</f>
        <v>11828.9375</v>
      </c>
      <c r="C20" s="44" t="n">
        <f aca="false">SUMIF(Headcount!$A$6:$A$35,"Support (COGS)",Headcount!H$6:H$35)</f>
        <v>11828.9375</v>
      </c>
      <c r="D20" s="44" t="n">
        <f aca="false">SUMIF(Headcount!$A$6:$A$35,"Support (COGS)",Headcount!I$6:I$35)</f>
        <v>11828.9375</v>
      </c>
      <c r="E20" s="44" t="n">
        <f aca="false">SUMIF(Headcount!$A$6:$A$35,"Support (COGS)",Headcount!J$6:J$35)</f>
        <v>11828.9375</v>
      </c>
      <c r="F20" s="44" t="n">
        <f aca="false">SUMIF(Headcount!$A$6:$A$35,"Support (COGS)",Headcount!K$6:K$35)</f>
        <v>11828.9375</v>
      </c>
      <c r="G20" s="44" t="n">
        <f aca="false">SUMIF(Headcount!$A$6:$A$35,"Support (COGS)",Headcount!L$6:L$35)</f>
        <v>11828.9375</v>
      </c>
      <c r="H20" s="44" t="n">
        <f aca="false">SUMIF(Headcount!$A$6:$A$35,"Support (COGS)",Headcount!M$6:M$35)</f>
        <v>11828.9375</v>
      </c>
      <c r="I20" s="44" t="n">
        <f aca="false">SUMIF(Headcount!$A$6:$A$35,"Support (COGS)",Headcount!N$6:N$35)</f>
        <v>23172.46875</v>
      </c>
      <c r="J20" s="44" t="n">
        <f aca="false">SUMIF(Headcount!$A$6:$A$35,"Support (COGS)",Headcount!O$6:O$35)</f>
        <v>23172.46875</v>
      </c>
      <c r="K20" s="44" t="n">
        <f aca="false">SUMIF(Headcount!$A$6:$A$35,"Support (COGS)",Headcount!P$6:P$35)</f>
        <v>23172.46875</v>
      </c>
      <c r="L20" s="44" t="n">
        <f aca="false">SUMIF(Headcount!$A$6:$A$35,"Support (COGS)",Headcount!Q$6:Q$35)</f>
        <v>23172.46875</v>
      </c>
      <c r="M20" s="44" t="n">
        <f aca="false">SUMIF(Headcount!$A$6:$A$35,"Support (COGS)",Headcount!R$6:R$35)</f>
        <v>23172.46875</v>
      </c>
      <c r="N20" s="33" t="n">
        <f aca="false">SUM(B20:M20)</f>
        <v>198664.90625</v>
      </c>
    </row>
    <row r="21" customFormat="false" ht="15" hidden="false" customHeight="false" outlineLevel="0" collapsed="false">
      <c r="A21" s="42" t="s">
        <v>196</v>
      </c>
      <c r="B21" s="32" t="n">
        <v>6500</v>
      </c>
      <c r="C21" s="32" t="n">
        <v>6500</v>
      </c>
      <c r="D21" s="32" t="n">
        <v>6500</v>
      </c>
      <c r="E21" s="32" t="n">
        <v>6500</v>
      </c>
      <c r="F21" s="32" t="n">
        <v>6500</v>
      </c>
      <c r="G21" s="32" t="n">
        <v>6500</v>
      </c>
      <c r="H21" s="32" t="n">
        <v>6500</v>
      </c>
      <c r="I21" s="32" t="n">
        <v>6500</v>
      </c>
      <c r="J21" s="32" t="n">
        <v>6500</v>
      </c>
      <c r="K21" s="32" t="n">
        <v>6500</v>
      </c>
      <c r="L21" s="32" t="n">
        <v>6500</v>
      </c>
      <c r="M21" s="32" t="n">
        <v>6500</v>
      </c>
      <c r="N21" s="33" t="n">
        <f aca="false">SUM(B21:M21)</f>
        <v>78000</v>
      </c>
    </row>
    <row r="22" customFormat="false" ht="15" hidden="false" customHeight="false" outlineLevel="0" collapsed="false">
      <c r="A22" s="43" t="s">
        <v>197</v>
      </c>
      <c r="B22" s="40" t="n">
        <f aca="false">SUM(B18:B21)</f>
        <v>39386.4791666667</v>
      </c>
      <c r="C22" s="40" t="n">
        <f aca="false">SUM(C18:C21)</f>
        <v>40120.1032083333</v>
      </c>
      <c r="D22" s="40" t="n">
        <f aca="false">SUM(D18:D21)</f>
        <v>40950.4847112083</v>
      </c>
      <c r="E22" s="40" t="n">
        <f aca="false">SUM(E18:E21)</f>
        <v>41857.5417362414</v>
      </c>
      <c r="F22" s="40" t="n">
        <f aca="false">SUM(F18:F21)</f>
        <v>42821.2525901993</v>
      </c>
      <c r="G22" s="40" t="n">
        <f aca="false">SUM(G18:G21)</f>
        <v>43881.0306449287</v>
      </c>
      <c r="H22" s="40" t="n">
        <f aca="false">SUM(H18:H21)</f>
        <v>45016.7960321606</v>
      </c>
      <c r="I22" s="40" t="n">
        <f aca="false">SUM(I18:I21)</f>
        <v>57552.0603732308</v>
      </c>
      <c r="J22" s="40" t="n">
        <f aca="false">SUM(J18:J21)</f>
        <v>58839.1765983611</v>
      </c>
      <c r="K22" s="40" t="n">
        <f aca="false">SUM(K18:K21)</f>
        <v>60221.3898081493</v>
      </c>
      <c r="L22" s="40" t="n">
        <f aca="false">SUM(L18:L21)</f>
        <v>61678.6230449749</v>
      </c>
      <c r="M22" s="40" t="n">
        <f aca="false">SUM(M18:M21)</f>
        <v>63230.4429154233</v>
      </c>
      <c r="N22" s="40" t="n">
        <f aca="false">SUM(B22:M22)</f>
        <v>595555.380829878</v>
      </c>
    </row>
    <row r="23" customFormat="false" ht="15" hidden="false" customHeight="false" outlineLevel="0" collapsed="false">
      <c r="A23" s="42" t="s">
        <v>198</v>
      </c>
      <c r="B23" s="29" t="n">
        <f aca="false">IF(B15=0,0,(B15-B22)/B15)</f>
        <v>0.822309955261476</v>
      </c>
      <c r="C23" s="29" t="n">
        <f aca="false">IF(C15=0,0,(C15-C22)/C15)</f>
        <v>0.825093808389786</v>
      </c>
      <c r="D23" s="29" t="n">
        <f aca="false">IF(D15=0,0,(D15-D22)/D15)</f>
        <v>0.828026968657685</v>
      </c>
      <c r="E23" s="29" t="n">
        <f aca="false">IF(E15=0,0,(E15-E22)/E15)</f>
        <v>0.830994374973679</v>
      </c>
      <c r="F23" s="29" t="n">
        <f aca="false">IF(F15=0,0,(F15-F22)/F15)</f>
        <v>0.833906309751144</v>
      </c>
      <c r="G23" s="29" t="n">
        <f aca="false">IF(G15=0,0,(G15-G22)/G15)</f>
        <v>0.836854934442207</v>
      </c>
      <c r="H23" s="29" t="n">
        <f aca="false">IF(H15=0,0,(H15-H22)/H15)</f>
        <v>0.839755010020692</v>
      </c>
      <c r="I23" s="29" t="n">
        <f aca="false">IF(I15=0,0,(I15-I22)/I15)</f>
        <v>0.803890752441971</v>
      </c>
      <c r="J23" s="29" t="n">
        <f aca="false">IF(J15=0,0,(J15-J22)/J15)</f>
        <v>0.808352666817747</v>
      </c>
      <c r="K23" s="29" t="n">
        <f aca="false">IF(K15=0,0,(K15-K22)/K15)</f>
        <v>0.812725561702022</v>
      </c>
      <c r="L23" s="29" t="n">
        <f aca="false">IF(L15=0,0,(L15-L22)/L15)</f>
        <v>0.816926796788186</v>
      </c>
      <c r="M23" s="29" t="n">
        <f aca="false">IF(M15=0,0,(M15-M22)/M15)</f>
        <v>0.820999561911742</v>
      </c>
      <c r="N23" s="27" t="n">
        <f aca="false">IF(N15=0,0,(N15-N22)/N15)</f>
        <v>0.822579331498137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4"/>
    <col collapsed="false" customWidth="true" hidden="false" outlineLevel="0" max="15" min="3" style="0" width="12"/>
  </cols>
  <sheetData>
    <row r="1" customFormat="false" ht="17.35" hidden="false" customHeight="false" outlineLevel="0" collapsed="false">
      <c r="A1" s="14" t="s">
        <v>199</v>
      </c>
    </row>
    <row r="2" customFormat="false" ht="15" hidden="false" customHeight="false" outlineLevel="0" collapsed="false">
      <c r="A2" s="21" t="s">
        <v>200</v>
      </c>
    </row>
    <row r="4" customFormat="false" ht="15" hidden="false" customHeight="false" outlineLevel="0" collapsed="false">
      <c r="A4" s="22" t="s">
        <v>136</v>
      </c>
      <c r="B4" s="22" t="s">
        <v>201</v>
      </c>
      <c r="C4" s="35" t="s">
        <v>142</v>
      </c>
      <c r="D4" s="35" t="s">
        <v>143</v>
      </c>
      <c r="E4" s="35" t="s">
        <v>144</v>
      </c>
      <c r="F4" s="35" t="s">
        <v>145</v>
      </c>
      <c r="G4" s="35" t="s">
        <v>146</v>
      </c>
      <c r="H4" s="35" t="s">
        <v>147</v>
      </c>
      <c r="I4" s="35" t="s">
        <v>148</v>
      </c>
      <c r="J4" s="35" t="s">
        <v>149</v>
      </c>
      <c r="K4" s="35" t="s">
        <v>150</v>
      </c>
      <c r="L4" s="35" t="s">
        <v>151</v>
      </c>
      <c r="M4" s="35" t="s">
        <v>152</v>
      </c>
      <c r="N4" s="35" t="s">
        <v>153</v>
      </c>
      <c r="O4" s="35" t="s">
        <v>154</v>
      </c>
    </row>
    <row r="5" customFormat="false" ht="15" hidden="false" customHeight="false" outlineLevel="0" collapsed="false">
      <c r="A5" s="37" t="s">
        <v>161</v>
      </c>
      <c r="B5" s="37" t="s">
        <v>202</v>
      </c>
      <c r="C5" s="32" t="n">
        <v>7500</v>
      </c>
      <c r="D5" s="32" t="n">
        <v>7500</v>
      </c>
      <c r="E5" s="32" t="n">
        <v>7500</v>
      </c>
      <c r="F5" s="32" t="n">
        <v>7500</v>
      </c>
      <c r="G5" s="32" t="n">
        <v>7500</v>
      </c>
      <c r="H5" s="32" t="n">
        <v>7500</v>
      </c>
      <c r="I5" s="32" t="n">
        <v>7500</v>
      </c>
      <c r="J5" s="32" t="n">
        <v>7500</v>
      </c>
      <c r="K5" s="32" t="n">
        <v>7500</v>
      </c>
      <c r="L5" s="32" t="n">
        <v>7500</v>
      </c>
      <c r="M5" s="32" t="n">
        <v>7500</v>
      </c>
      <c r="N5" s="32" t="n">
        <v>7500</v>
      </c>
      <c r="O5" s="33" t="n">
        <f aca="false">SUM(C5:N5)</f>
        <v>90000</v>
      </c>
    </row>
    <row r="6" customFormat="false" ht="15" hidden="false" customHeight="false" outlineLevel="0" collapsed="false">
      <c r="A6" s="37" t="s">
        <v>161</v>
      </c>
      <c r="B6" s="37" t="s">
        <v>203</v>
      </c>
      <c r="C6" s="32" t="n">
        <v>3200</v>
      </c>
      <c r="D6" s="32" t="n">
        <v>3200</v>
      </c>
      <c r="E6" s="32" t="n">
        <v>3200</v>
      </c>
      <c r="F6" s="32" t="n">
        <v>3200</v>
      </c>
      <c r="G6" s="32" t="n">
        <v>3200</v>
      </c>
      <c r="H6" s="32" t="n">
        <v>3200</v>
      </c>
      <c r="I6" s="32" t="n">
        <v>3200</v>
      </c>
      <c r="J6" s="32" t="n">
        <v>3200</v>
      </c>
      <c r="K6" s="32" t="n">
        <v>3200</v>
      </c>
      <c r="L6" s="32" t="n">
        <v>3200</v>
      </c>
      <c r="M6" s="32" t="n">
        <v>3200</v>
      </c>
      <c r="N6" s="32" t="n">
        <v>3200</v>
      </c>
      <c r="O6" s="33" t="n">
        <f aca="false">SUM(C6:N6)</f>
        <v>38400</v>
      </c>
    </row>
    <row r="7" customFormat="false" ht="15" hidden="false" customHeight="false" outlineLevel="0" collapsed="false">
      <c r="A7" s="37" t="s">
        <v>161</v>
      </c>
      <c r="B7" s="37" t="s">
        <v>204</v>
      </c>
      <c r="C7" s="32" t="n">
        <v>6000</v>
      </c>
      <c r="D7" s="32" t="n">
        <v>6000</v>
      </c>
      <c r="E7" s="32" t="n">
        <v>6000</v>
      </c>
      <c r="F7" s="32" t="n">
        <v>6000</v>
      </c>
      <c r="G7" s="32" t="n">
        <v>6000</v>
      </c>
      <c r="H7" s="32" t="n">
        <v>6000</v>
      </c>
      <c r="I7" s="32" t="n">
        <v>6000</v>
      </c>
      <c r="J7" s="32" t="n">
        <v>6000</v>
      </c>
      <c r="K7" s="32" t="n">
        <v>6000</v>
      </c>
      <c r="L7" s="32" t="n">
        <v>6000</v>
      </c>
      <c r="M7" s="32" t="n">
        <v>6000</v>
      </c>
      <c r="N7" s="32" t="n">
        <v>6000</v>
      </c>
      <c r="O7" s="33" t="n">
        <f aca="false">SUM(C7:N7)</f>
        <v>72000</v>
      </c>
    </row>
    <row r="8" customFormat="false" ht="15" hidden="false" customHeight="false" outlineLevel="0" collapsed="false">
      <c r="A8" s="37" t="s">
        <v>161</v>
      </c>
      <c r="B8" s="37" t="s">
        <v>205</v>
      </c>
      <c r="C8" s="32" t="n">
        <v>1200</v>
      </c>
      <c r="D8" s="32" t="n">
        <v>1200</v>
      </c>
      <c r="E8" s="32" t="n">
        <v>1200</v>
      </c>
      <c r="F8" s="32" t="n">
        <v>1200</v>
      </c>
      <c r="G8" s="32" t="n">
        <v>1200</v>
      </c>
      <c r="H8" s="32" t="n">
        <v>1200</v>
      </c>
      <c r="I8" s="32" t="n">
        <v>1200</v>
      </c>
      <c r="J8" s="32" t="n">
        <v>1200</v>
      </c>
      <c r="K8" s="32" t="n">
        <v>1200</v>
      </c>
      <c r="L8" s="32" t="n">
        <v>1200</v>
      </c>
      <c r="M8" s="32" t="n">
        <v>1200</v>
      </c>
      <c r="N8" s="32" t="n">
        <v>1200</v>
      </c>
      <c r="O8" s="33" t="n">
        <f aca="false">SUM(C8:N8)</f>
        <v>14400</v>
      </c>
    </row>
    <row r="9" customFormat="false" ht="15" hidden="false" customHeight="false" outlineLevel="0" collapsed="false">
      <c r="A9" s="37" t="s">
        <v>166</v>
      </c>
      <c r="B9" s="37" t="s">
        <v>206</v>
      </c>
      <c r="C9" s="32" t="n">
        <v>22000</v>
      </c>
      <c r="D9" s="32" t="n">
        <v>22000</v>
      </c>
      <c r="E9" s="32" t="n">
        <v>22000</v>
      </c>
      <c r="F9" s="32" t="n">
        <v>22000</v>
      </c>
      <c r="G9" s="32" t="n">
        <v>22000</v>
      </c>
      <c r="H9" s="32" t="n">
        <v>22000</v>
      </c>
      <c r="I9" s="32" t="n">
        <v>22000</v>
      </c>
      <c r="J9" s="32" t="n">
        <v>22000</v>
      </c>
      <c r="K9" s="32" t="n">
        <v>22000</v>
      </c>
      <c r="L9" s="32" t="n">
        <v>22000</v>
      </c>
      <c r="M9" s="32" t="n">
        <v>22000</v>
      </c>
      <c r="N9" s="32" t="n">
        <v>22000</v>
      </c>
      <c r="O9" s="33" t="n">
        <f aca="false">SUM(C9:N9)</f>
        <v>264000</v>
      </c>
    </row>
    <row r="10" customFormat="false" ht="15" hidden="false" customHeight="false" outlineLevel="0" collapsed="false">
      <c r="A10" s="37" t="s">
        <v>166</v>
      </c>
      <c r="B10" s="37" t="s">
        <v>207</v>
      </c>
      <c r="C10" s="32" t="n">
        <v>9000</v>
      </c>
      <c r="D10" s="32" t="n">
        <v>9000</v>
      </c>
      <c r="E10" s="32" t="n">
        <v>9000</v>
      </c>
      <c r="F10" s="32" t="n">
        <v>9000</v>
      </c>
      <c r="G10" s="32" t="n">
        <v>9000</v>
      </c>
      <c r="H10" s="32" t="n">
        <v>9000</v>
      </c>
      <c r="I10" s="32" t="n">
        <v>9000</v>
      </c>
      <c r="J10" s="32" t="n">
        <v>9000</v>
      </c>
      <c r="K10" s="32" t="n">
        <v>9000</v>
      </c>
      <c r="L10" s="32" t="n">
        <v>9000</v>
      </c>
      <c r="M10" s="32" t="n">
        <v>9000</v>
      </c>
      <c r="N10" s="32" t="n">
        <v>9000</v>
      </c>
      <c r="O10" s="33" t="n">
        <f aca="false">SUM(C10:N10)</f>
        <v>108000</v>
      </c>
    </row>
    <row r="11" customFormat="false" ht="15" hidden="false" customHeight="false" outlineLevel="0" collapsed="false">
      <c r="A11" s="37" t="s">
        <v>166</v>
      </c>
      <c r="B11" s="37" t="s">
        <v>208</v>
      </c>
      <c r="C11" s="32" t="n">
        <v>7500</v>
      </c>
      <c r="D11" s="32" t="n">
        <v>7500</v>
      </c>
      <c r="E11" s="32" t="n">
        <v>7500</v>
      </c>
      <c r="F11" s="32" t="n">
        <v>7500</v>
      </c>
      <c r="G11" s="32" t="n">
        <v>7500</v>
      </c>
      <c r="H11" s="32" t="n">
        <v>7500</v>
      </c>
      <c r="I11" s="32" t="n">
        <v>7500</v>
      </c>
      <c r="J11" s="32" t="n">
        <v>7500</v>
      </c>
      <c r="K11" s="32" t="n">
        <v>7500</v>
      </c>
      <c r="L11" s="32" t="n">
        <v>7500</v>
      </c>
      <c r="M11" s="32" t="n">
        <v>7500</v>
      </c>
      <c r="N11" s="32" t="n">
        <v>7500</v>
      </c>
      <c r="O11" s="33" t="n">
        <f aca="false">SUM(C11:N11)</f>
        <v>90000</v>
      </c>
    </row>
    <row r="12" customFormat="false" ht="15" hidden="false" customHeight="false" outlineLevel="0" collapsed="false">
      <c r="A12" s="37" t="s">
        <v>166</v>
      </c>
      <c r="B12" s="37" t="s">
        <v>209</v>
      </c>
      <c r="C12" s="32" t="n">
        <v>4200</v>
      </c>
      <c r="D12" s="32" t="n">
        <v>4200</v>
      </c>
      <c r="E12" s="32" t="n">
        <v>4200</v>
      </c>
      <c r="F12" s="32" t="n">
        <v>4200</v>
      </c>
      <c r="G12" s="32" t="n">
        <v>4200</v>
      </c>
      <c r="H12" s="32" t="n">
        <v>4200</v>
      </c>
      <c r="I12" s="32" t="n">
        <v>4200</v>
      </c>
      <c r="J12" s="32" t="n">
        <v>4200</v>
      </c>
      <c r="K12" s="32" t="n">
        <v>4200</v>
      </c>
      <c r="L12" s="32" t="n">
        <v>4200</v>
      </c>
      <c r="M12" s="32" t="n">
        <v>4200</v>
      </c>
      <c r="N12" s="32" t="n">
        <v>4200</v>
      </c>
      <c r="O12" s="33" t="n">
        <f aca="false">SUM(C12:N12)</f>
        <v>50400</v>
      </c>
    </row>
    <row r="13" customFormat="false" ht="15" hidden="false" customHeight="false" outlineLevel="0" collapsed="false">
      <c r="A13" s="37" t="s">
        <v>166</v>
      </c>
      <c r="B13" s="37" t="s">
        <v>210</v>
      </c>
      <c r="C13" s="32" t="n">
        <v>5500</v>
      </c>
      <c r="D13" s="32" t="n">
        <v>5500</v>
      </c>
      <c r="E13" s="32" t="n">
        <v>5500</v>
      </c>
      <c r="F13" s="32" t="n">
        <v>5500</v>
      </c>
      <c r="G13" s="32" t="n">
        <v>5500</v>
      </c>
      <c r="H13" s="32" t="n">
        <v>5500</v>
      </c>
      <c r="I13" s="32" t="n">
        <v>5500</v>
      </c>
      <c r="J13" s="32" t="n">
        <v>5500</v>
      </c>
      <c r="K13" s="32" t="n">
        <v>5500</v>
      </c>
      <c r="L13" s="32" t="n">
        <v>5500</v>
      </c>
      <c r="M13" s="32" t="n">
        <v>5500</v>
      </c>
      <c r="N13" s="32" t="n">
        <v>5500</v>
      </c>
      <c r="O13" s="33" t="n">
        <f aca="false">SUM(C13:N13)</f>
        <v>66000</v>
      </c>
    </row>
    <row r="14" customFormat="false" ht="15" hidden="false" customHeight="false" outlineLevel="0" collapsed="false">
      <c r="A14" s="37" t="s">
        <v>171</v>
      </c>
      <c r="B14" s="37" t="s">
        <v>211</v>
      </c>
      <c r="C14" s="32" t="n">
        <v>2400</v>
      </c>
      <c r="D14" s="32" t="n">
        <v>2400</v>
      </c>
      <c r="E14" s="32" t="n">
        <v>2400</v>
      </c>
      <c r="F14" s="32" t="n">
        <v>2400</v>
      </c>
      <c r="G14" s="32" t="n">
        <v>2400</v>
      </c>
      <c r="H14" s="32" t="n">
        <v>2400</v>
      </c>
      <c r="I14" s="32" t="n">
        <v>2400</v>
      </c>
      <c r="J14" s="32" t="n">
        <v>2400</v>
      </c>
      <c r="K14" s="32" t="n">
        <v>2400</v>
      </c>
      <c r="L14" s="32" t="n">
        <v>2400</v>
      </c>
      <c r="M14" s="32" t="n">
        <v>2400</v>
      </c>
      <c r="N14" s="32" t="n">
        <v>2400</v>
      </c>
      <c r="O14" s="33" t="n">
        <f aca="false">SUM(C14:N14)</f>
        <v>28800</v>
      </c>
    </row>
    <row r="15" customFormat="false" ht="15" hidden="false" customHeight="false" outlineLevel="0" collapsed="false">
      <c r="A15" s="37" t="s">
        <v>171</v>
      </c>
      <c r="B15" s="37" t="s">
        <v>212</v>
      </c>
      <c r="C15" s="32" t="n">
        <v>1800</v>
      </c>
      <c r="D15" s="32" t="n">
        <v>1800</v>
      </c>
      <c r="E15" s="32" t="n">
        <v>1800</v>
      </c>
      <c r="F15" s="32" t="n">
        <v>1800</v>
      </c>
      <c r="G15" s="32" t="n">
        <v>1800</v>
      </c>
      <c r="H15" s="32" t="n">
        <v>1800</v>
      </c>
      <c r="I15" s="32" t="n">
        <v>1800</v>
      </c>
      <c r="J15" s="32" t="n">
        <v>1800</v>
      </c>
      <c r="K15" s="32" t="n">
        <v>1800</v>
      </c>
      <c r="L15" s="32" t="n">
        <v>1800</v>
      </c>
      <c r="M15" s="32" t="n">
        <v>1800</v>
      </c>
      <c r="N15" s="32" t="n">
        <v>1800</v>
      </c>
      <c r="O15" s="33" t="n">
        <f aca="false">SUM(C15:N15)</f>
        <v>21600</v>
      </c>
    </row>
    <row r="16" customFormat="false" ht="15" hidden="false" customHeight="false" outlineLevel="0" collapsed="false">
      <c r="A16" s="37" t="s">
        <v>156</v>
      </c>
      <c r="B16" s="37" t="s">
        <v>213</v>
      </c>
      <c r="C16" s="32" t="n">
        <v>11000</v>
      </c>
      <c r="D16" s="32" t="n">
        <v>11000</v>
      </c>
      <c r="E16" s="32" t="n">
        <v>11000</v>
      </c>
      <c r="F16" s="32" t="n">
        <v>11000</v>
      </c>
      <c r="G16" s="32" t="n">
        <v>11000</v>
      </c>
      <c r="H16" s="32" t="n">
        <v>11000</v>
      </c>
      <c r="I16" s="32" t="n">
        <v>11000</v>
      </c>
      <c r="J16" s="32" t="n">
        <v>11000</v>
      </c>
      <c r="K16" s="32" t="n">
        <v>11000</v>
      </c>
      <c r="L16" s="32" t="n">
        <v>11000</v>
      </c>
      <c r="M16" s="32" t="n">
        <v>11000</v>
      </c>
      <c r="N16" s="32" t="n">
        <v>11000</v>
      </c>
      <c r="O16" s="33" t="n">
        <f aca="false">SUM(C16:N16)</f>
        <v>132000</v>
      </c>
    </row>
    <row r="17" customFormat="false" ht="15" hidden="false" customHeight="false" outlineLevel="0" collapsed="false">
      <c r="A17" s="37" t="s">
        <v>156</v>
      </c>
      <c r="B17" s="37" t="s">
        <v>214</v>
      </c>
      <c r="C17" s="32" t="n">
        <v>6500</v>
      </c>
      <c r="D17" s="32" t="n">
        <v>6500</v>
      </c>
      <c r="E17" s="32" t="n">
        <v>6500</v>
      </c>
      <c r="F17" s="32" t="n">
        <v>6500</v>
      </c>
      <c r="G17" s="32" t="n">
        <v>6500</v>
      </c>
      <c r="H17" s="32" t="n">
        <v>6500</v>
      </c>
      <c r="I17" s="32" t="n">
        <v>6500</v>
      </c>
      <c r="J17" s="32" t="n">
        <v>6500</v>
      </c>
      <c r="K17" s="32" t="n">
        <v>6500</v>
      </c>
      <c r="L17" s="32" t="n">
        <v>6500</v>
      </c>
      <c r="M17" s="32" t="n">
        <v>6500</v>
      </c>
      <c r="N17" s="32" t="n">
        <v>6500</v>
      </c>
      <c r="O17" s="33" t="n">
        <f aca="false">SUM(C17:N17)</f>
        <v>78000</v>
      </c>
    </row>
    <row r="18" customFormat="false" ht="15" hidden="false" customHeight="false" outlineLevel="0" collapsed="false">
      <c r="A18" s="37" t="s">
        <v>156</v>
      </c>
      <c r="B18" s="37" t="s">
        <v>215</v>
      </c>
      <c r="C18" s="32" t="n">
        <v>5500</v>
      </c>
      <c r="D18" s="32" t="n">
        <v>5500</v>
      </c>
      <c r="E18" s="32" t="n">
        <v>5500</v>
      </c>
      <c r="F18" s="32" t="n">
        <v>5500</v>
      </c>
      <c r="G18" s="32" t="n">
        <v>5500</v>
      </c>
      <c r="H18" s="32" t="n">
        <v>5500</v>
      </c>
      <c r="I18" s="32" t="n">
        <v>5500</v>
      </c>
      <c r="J18" s="32" t="n">
        <v>5500</v>
      </c>
      <c r="K18" s="32" t="n">
        <v>5500</v>
      </c>
      <c r="L18" s="32" t="n">
        <v>5500</v>
      </c>
      <c r="M18" s="32" t="n">
        <v>5500</v>
      </c>
      <c r="N18" s="32" t="n">
        <v>5500</v>
      </c>
      <c r="O18" s="33" t="n">
        <f aca="false">SUM(C18:N18)</f>
        <v>66000</v>
      </c>
    </row>
    <row r="19" customFormat="false" ht="15" hidden="false" customHeight="false" outlineLevel="0" collapsed="false">
      <c r="A19" s="37" t="s">
        <v>156</v>
      </c>
      <c r="B19" s="37" t="s">
        <v>216</v>
      </c>
      <c r="C19" s="32" t="n">
        <v>4200</v>
      </c>
      <c r="D19" s="32" t="n">
        <v>4200</v>
      </c>
      <c r="E19" s="32" t="n">
        <v>4200</v>
      </c>
      <c r="F19" s="32" t="n">
        <v>4200</v>
      </c>
      <c r="G19" s="32" t="n">
        <v>4200</v>
      </c>
      <c r="H19" s="32" t="n">
        <v>4200</v>
      </c>
      <c r="I19" s="32" t="n">
        <v>4200</v>
      </c>
      <c r="J19" s="32" t="n">
        <v>4200</v>
      </c>
      <c r="K19" s="32" t="n">
        <v>4200</v>
      </c>
      <c r="L19" s="32" t="n">
        <v>4200</v>
      </c>
      <c r="M19" s="32" t="n">
        <v>4200</v>
      </c>
      <c r="N19" s="32" t="n">
        <v>4200</v>
      </c>
      <c r="O19" s="33" t="n">
        <f aca="false">SUM(C19:N19)</f>
        <v>50400</v>
      </c>
    </row>
    <row r="20" customFormat="false" ht="15" hidden="false" customHeight="false" outlineLevel="0" collapsed="false">
      <c r="A20" s="37" t="s">
        <v>156</v>
      </c>
      <c r="B20" s="37" t="s">
        <v>217</v>
      </c>
      <c r="C20" s="32" t="n">
        <v>3800</v>
      </c>
      <c r="D20" s="32" t="n">
        <v>3800</v>
      </c>
      <c r="E20" s="32" t="n">
        <v>3800</v>
      </c>
      <c r="F20" s="32" t="n">
        <v>3800</v>
      </c>
      <c r="G20" s="32" t="n">
        <v>3800</v>
      </c>
      <c r="H20" s="32" t="n">
        <v>3800</v>
      </c>
      <c r="I20" s="32" t="n">
        <v>3800</v>
      </c>
      <c r="J20" s="32" t="n">
        <v>3800</v>
      </c>
      <c r="K20" s="32" t="n">
        <v>3800</v>
      </c>
      <c r="L20" s="32" t="n">
        <v>3800</v>
      </c>
      <c r="M20" s="32" t="n">
        <v>3800</v>
      </c>
      <c r="N20" s="32" t="n">
        <v>3800</v>
      </c>
      <c r="O20" s="33" t="n">
        <f aca="false">SUM(C20:N20)</f>
        <v>45600</v>
      </c>
    </row>
    <row r="21" customFormat="false" ht="15" hidden="false" customHeight="false" outlineLevel="0" collapsed="false">
      <c r="A21" s="37" t="s">
        <v>156</v>
      </c>
      <c r="B21" s="37" t="s">
        <v>218</v>
      </c>
      <c r="C21" s="32" t="n">
        <v>7000</v>
      </c>
      <c r="D21" s="32" t="n">
        <v>7000</v>
      </c>
      <c r="E21" s="32" t="n">
        <v>7000</v>
      </c>
      <c r="F21" s="32" t="n">
        <v>7000</v>
      </c>
      <c r="G21" s="32" t="n">
        <v>7000</v>
      </c>
      <c r="H21" s="32" t="n">
        <v>7000</v>
      </c>
      <c r="I21" s="32" t="n">
        <v>7000</v>
      </c>
      <c r="J21" s="32" t="n">
        <v>7000</v>
      </c>
      <c r="K21" s="32" t="n">
        <v>7000</v>
      </c>
      <c r="L21" s="32" t="n">
        <v>7000</v>
      </c>
      <c r="M21" s="32" t="n">
        <v>7000</v>
      </c>
      <c r="N21" s="32" t="n">
        <v>7000</v>
      </c>
      <c r="O21" s="33" t="n">
        <f aca="false">SUM(C21:N21)</f>
        <v>84000</v>
      </c>
    </row>
    <row r="22" customFormat="false" ht="15" hidden="false" customHeight="false" outlineLevel="0" collapsed="false">
      <c r="A22" s="37" t="s">
        <v>156</v>
      </c>
      <c r="B22" s="37" t="s">
        <v>219</v>
      </c>
      <c r="C22" s="32" t="n">
        <v>1900</v>
      </c>
      <c r="D22" s="32" t="n">
        <v>1900</v>
      </c>
      <c r="E22" s="32" t="n">
        <v>1900</v>
      </c>
      <c r="F22" s="32" t="n">
        <v>1900</v>
      </c>
      <c r="G22" s="32" t="n">
        <v>1900</v>
      </c>
      <c r="H22" s="32" t="n">
        <v>1900</v>
      </c>
      <c r="I22" s="32" t="n">
        <v>1900</v>
      </c>
      <c r="J22" s="32" t="n">
        <v>1900</v>
      </c>
      <c r="K22" s="32" t="n">
        <v>1900</v>
      </c>
      <c r="L22" s="32" t="n">
        <v>1900</v>
      </c>
      <c r="M22" s="32" t="n">
        <v>1900</v>
      </c>
      <c r="N22" s="32" t="n">
        <v>1900</v>
      </c>
      <c r="O22" s="33" t="n">
        <f aca="false">SUM(C22:N22)</f>
        <v>22800</v>
      </c>
    </row>
    <row r="23" customFormat="false" ht="15" hidden="false" customHeight="false" outlineLevel="0" collapsed="false">
      <c r="A23" s="37" t="s">
        <v>156</v>
      </c>
      <c r="B23" s="37" t="s">
        <v>220</v>
      </c>
      <c r="C23" s="32" t="n">
        <v>900</v>
      </c>
      <c r="D23" s="32" t="n">
        <v>900</v>
      </c>
      <c r="E23" s="32" t="n">
        <v>900</v>
      </c>
      <c r="F23" s="32" t="n">
        <v>900</v>
      </c>
      <c r="G23" s="32" t="n">
        <v>900</v>
      </c>
      <c r="H23" s="32" t="n">
        <v>900</v>
      </c>
      <c r="I23" s="32" t="n">
        <v>900</v>
      </c>
      <c r="J23" s="32" t="n">
        <v>900</v>
      </c>
      <c r="K23" s="32" t="n">
        <v>900</v>
      </c>
      <c r="L23" s="32" t="n">
        <v>900</v>
      </c>
      <c r="M23" s="32" t="n">
        <v>900</v>
      </c>
      <c r="N23" s="32" t="n">
        <v>900</v>
      </c>
      <c r="O23" s="33" t="n">
        <f aca="false">SUM(C23:N23)</f>
        <v>10800</v>
      </c>
    </row>
    <row r="24" customFormat="false" ht="15" hidden="false" customHeight="false" outlineLevel="0" collapsed="false">
      <c r="A24" s="37" t="s">
        <v>156</v>
      </c>
      <c r="B24" s="37" t="s">
        <v>221</v>
      </c>
      <c r="C24" s="32" t="n">
        <v>2500</v>
      </c>
      <c r="D24" s="32" t="n">
        <v>2500</v>
      </c>
      <c r="E24" s="32" t="n">
        <v>2500</v>
      </c>
      <c r="F24" s="32" t="n">
        <v>2500</v>
      </c>
      <c r="G24" s="32" t="n">
        <v>2500</v>
      </c>
      <c r="H24" s="32" t="n">
        <v>2500</v>
      </c>
      <c r="I24" s="32" t="n">
        <v>2500</v>
      </c>
      <c r="J24" s="32" t="n">
        <v>2500</v>
      </c>
      <c r="K24" s="32" t="n">
        <v>2500</v>
      </c>
      <c r="L24" s="32" t="n">
        <v>2500</v>
      </c>
      <c r="M24" s="32" t="n">
        <v>2500</v>
      </c>
      <c r="N24" s="32" t="n">
        <v>2500</v>
      </c>
      <c r="O24" s="33" t="n">
        <f aca="false">SUM(C24:N24)</f>
        <v>30000</v>
      </c>
    </row>
    <row r="25" customFormat="false" ht="15" hidden="false" customHeight="false" outlineLevel="0" collapsed="false">
      <c r="A25" s="37"/>
      <c r="B25" s="37"/>
      <c r="C25" s="32"/>
      <c r="D25" s="32"/>
      <c r="E25" s="32"/>
      <c r="F25" s="32"/>
      <c r="G25" s="32"/>
      <c r="H25" s="32"/>
      <c r="I25" s="32"/>
      <c r="J25" s="32"/>
      <c r="K25" s="32"/>
      <c r="L25" s="32"/>
      <c r="M25" s="32"/>
      <c r="N25" s="32"/>
      <c r="O25" s="33" t="n">
        <f aca="false">SUM(C25:N25)</f>
        <v>0</v>
      </c>
    </row>
    <row r="26" customFormat="false" ht="15" hidden="false" customHeight="false" outlineLevel="0" collapsed="false">
      <c r="A26" s="37"/>
      <c r="B26" s="37"/>
      <c r="C26" s="32"/>
      <c r="D26" s="32"/>
      <c r="E26" s="32"/>
      <c r="F26" s="32"/>
      <c r="G26" s="32"/>
      <c r="H26" s="32"/>
      <c r="I26" s="32"/>
      <c r="J26" s="32"/>
      <c r="K26" s="32"/>
      <c r="L26" s="32"/>
      <c r="M26" s="32"/>
      <c r="N26" s="32"/>
      <c r="O26" s="33" t="n">
        <f aca="false">SUM(C26:N26)</f>
        <v>0</v>
      </c>
    </row>
    <row r="27" customFormat="false" ht="15" hidden="false" customHeight="false" outlineLevel="0" collapsed="false">
      <c r="A27" s="37"/>
      <c r="B27" s="37"/>
      <c r="C27" s="32"/>
      <c r="D27" s="32"/>
      <c r="E27" s="32"/>
      <c r="F27" s="32"/>
      <c r="G27" s="32"/>
      <c r="H27" s="32"/>
      <c r="I27" s="32"/>
      <c r="J27" s="32"/>
      <c r="K27" s="32"/>
      <c r="L27" s="32"/>
      <c r="M27" s="32"/>
      <c r="N27" s="32"/>
      <c r="O27" s="33" t="n">
        <f aca="false">SUM(C27:N27)</f>
        <v>0</v>
      </c>
    </row>
    <row r="28" customFormat="false" ht="15" hidden="false" customHeight="false" outlineLevel="0" collapsed="false">
      <c r="A28" s="37"/>
      <c r="B28" s="37"/>
      <c r="C28" s="32"/>
      <c r="D28" s="32"/>
      <c r="E28" s="32"/>
      <c r="F28" s="32"/>
      <c r="G28" s="32"/>
      <c r="H28" s="32"/>
      <c r="I28" s="32"/>
      <c r="J28" s="32"/>
      <c r="K28" s="32"/>
      <c r="L28" s="32"/>
      <c r="M28" s="32"/>
      <c r="N28" s="32"/>
      <c r="O28" s="33" t="n">
        <f aca="false">SUM(C28:N28)</f>
        <v>0</v>
      </c>
    </row>
    <row r="29" customFormat="false" ht="15" hidden="false" customHeight="false" outlineLevel="0" collapsed="false">
      <c r="A29" s="37"/>
      <c r="B29" s="37"/>
      <c r="C29" s="32"/>
      <c r="D29" s="32"/>
      <c r="E29" s="32"/>
      <c r="F29" s="32"/>
      <c r="G29" s="32"/>
      <c r="H29" s="32"/>
      <c r="I29" s="32"/>
      <c r="J29" s="32"/>
      <c r="K29" s="32"/>
      <c r="L29" s="32"/>
      <c r="M29" s="32"/>
      <c r="N29" s="32"/>
      <c r="O29" s="33" t="n">
        <f aca="false">SUM(C29:N29)</f>
        <v>0</v>
      </c>
    </row>
    <row r="30" customFormat="false" ht="15" hidden="false" customHeight="false" outlineLevel="0" collapsed="false">
      <c r="A30" s="37"/>
      <c r="B30" s="37"/>
      <c r="C30" s="32"/>
      <c r="D30" s="32"/>
      <c r="E30" s="32"/>
      <c r="F30" s="32"/>
      <c r="G30" s="32"/>
      <c r="H30" s="32"/>
      <c r="I30" s="32"/>
      <c r="J30" s="32"/>
      <c r="K30" s="32"/>
      <c r="L30" s="32"/>
      <c r="M30" s="32"/>
      <c r="N30" s="32"/>
      <c r="O30" s="33" t="n">
        <f aca="false">SUM(C30:N30)</f>
        <v>0</v>
      </c>
    </row>
    <row r="31" customFormat="false" ht="15" hidden="false" customHeight="false" outlineLevel="0" collapsed="false">
      <c r="A31" s="37"/>
      <c r="B31" s="37"/>
      <c r="C31" s="32"/>
      <c r="D31" s="32"/>
      <c r="E31" s="32"/>
      <c r="F31" s="32"/>
      <c r="G31" s="32"/>
      <c r="H31" s="32"/>
      <c r="I31" s="32"/>
      <c r="J31" s="32"/>
      <c r="K31" s="32"/>
      <c r="L31" s="32"/>
      <c r="M31" s="32"/>
      <c r="N31" s="32"/>
      <c r="O31" s="33" t="n">
        <f aca="false">SUM(C31:N31)</f>
        <v>0</v>
      </c>
    </row>
    <row r="32" customFormat="false" ht="15" hidden="false" customHeight="false" outlineLevel="0" collapsed="false">
      <c r="A32" s="37"/>
      <c r="B32" s="37"/>
      <c r="C32" s="32"/>
      <c r="D32" s="32"/>
      <c r="E32" s="32"/>
      <c r="F32" s="32"/>
      <c r="G32" s="32"/>
      <c r="H32" s="32"/>
      <c r="I32" s="32"/>
      <c r="J32" s="32"/>
      <c r="K32" s="32"/>
      <c r="L32" s="32"/>
      <c r="M32" s="32"/>
      <c r="N32" s="32"/>
      <c r="O32" s="33" t="n">
        <f aca="false">SUM(C32:N32)</f>
        <v>0</v>
      </c>
    </row>
    <row r="34" customFormat="false" ht="15" hidden="false" customHeight="false" outlineLevel="0" collapsed="false">
      <c r="A34" s="5" t="s">
        <v>222</v>
      </c>
      <c r="C34" s="40" t="n">
        <f aca="false">SUM(C5:C32)</f>
        <v>113600</v>
      </c>
      <c r="D34" s="40" t="n">
        <f aca="false">SUM(D5:D32)</f>
        <v>113600</v>
      </c>
      <c r="E34" s="40" t="n">
        <f aca="false">SUM(E5:E32)</f>
        <v>113600</v>
      </c>
      <c r="F34" s="40" t="n">
        <f aca="false">SUM(F5:F32)</f>
        <v>113600</v>
      </c>
      <c r="G34" s="40" t="n">
        <f aca="false">SUM(G5:G32)</f>
        <v>113600</v>
      </c>
      <c r="H34" s="40" t="n">
        <f aca="false">SUM(H5:H32)</f>
        <v>113600</v>
      </c>
      <c r="I34" s="40" t="n">
        <f aca="false">SUM(I5:I32)</f>
        <v>113600</v>
      </c>
      <c r="J34" s="40" t="n">
        <f aca="false">SUM(J5:J32)</f>
        <v>113600</v>
      </c>
      <c r="K34" s="40" t="n">
        <f aca="false">SUM(K5:K32)</f>
        <v>113600</v>
      </c>
      <c r="L34" s="40" t="n">
        <f aca="false">SUM(L5:L32)</f>
        <v>113600</v>
      </c>
      <c r="M34" s="40" t="n">
        <f aca="false">SUM(M5:M32)</f>
        <v>113600</v>
      </c>
      <c r="N34" s="40" t="n">
        <f aca="false">SUM(N5:N32)</f>
        <v>113600</v>
      </c>
      <c r="O34" s="40" t="n">
        <f aca="false">SUM(C34:N34)</f>
        <v>1363200</v>
      </c>
    </row>
    <row r="36" customFormat="false" ht="15" hidden="false" customHeight="false" outlineLevel="0" collapsed="false">
      <c r="A36" s="9" t="s">
        <v>223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14" min="2" style="0" width="13"/>
  </cols>
  <sheetData>
    <row r="1" customFormat="false" ht="17.35" hidden="false" customHeight="false" outlineLevel="0" collapsed="false">
      <c r="A1" s="14" t="s">
        <v>224</v>
      </c>
    </row>
    <row r="2" customFormat="false" ht="15" hidden="false" customHeight="false" outlineLevel="0" collapsed="false">
      <c r="A2" s="21" t="s">
        <v>225</v>
      </c>
    </row>
    <row r="4" customFormat="false" ht="15" hidden="false" customHeight="false" outlineLevel="0" collapsed="false">
      <c r="B4" s="35" t="s">
        <v>142</v>
      </c>
      <c r="C4" s="35" t="s">
        <v>143</v>
      </c>
      <c r="D4" s="35" t="s">
        <v>144</v>
      </c>
      <c r="E4" s="35" t="s">
        <v>145</v>
      </c>
      <c r="F4" s="35" t="s">
        <v>146</v>
      </c>
      <c r="G4" s="35" t="s">
        <v>147</v>
      </c>
      <c r="H4" s="35" t="s">
        <v>148</v>
      </c>
      <c r="I4" s="35" t="s">
        <v>149</v>
      </c>
      <c r="J4" s="35" t="s">
        <v>150</v>
      </c>
      <c r="K4" s="35" t="s">
        <v>151</v>
      </c>
      <c r="L4" s="35" t="s">
        <v>152</v>
      </c>
      <c r="M4" s="35" t="s">
        <v>153</v>
      </c>
      <c r="N4" s="35" t="s">
        <v>154</v>
      </c>
    </row>
    <row r="5" customFormat="false" ht="15" hidden="false" customHeight="false" outlineLevel="0" collapsed="false">
      <c r="A5" s="5" t="s">
        <v>191</v>
      </c>
      <c r="B5" s="45" t="n">
        <f aca="false">Revenue!B15</f>
        <v>221658.333333333</v>
      </c>
      <c r="C5" s="45" t="n">
        <f aca="false">Revenue!C15</f>
        <v>229380.691666667</v>
      </c>
      <c r="D5" s="45" t="n">
        <f aca="false">Revenue!D15</f>
        <v>238121.549591667</v>
      </c>
      <c r="E5" s="45" t="n">
        <f aca="false">Revenue!E15</f>
        <v>247669.518276225</v>
      </c>
      <c r="F5" s="45" t="n">
        <f aca="false">Revenue!F15</f>
        <v>257813.84305473</v>
      </c>
      <c r="G5" s="45" t="n">
        <f aca="false">Revenue!G15</f>
        <v>268969.401525566</v>
      </c>
      <c r="H5" s="45" t="n">
        <f aca="false">Revenue!H15</f>
        <v>280924.826654322</v>
      </c>
      <c r="I5" s="45" t="n">
        <f aca="false">Revenue!I15</f>
        <v>293469.385507693</v>
      </c>
      <c r="J5" s="45" t="n">
        <f aca="false">Revenue!J15</f>
        <v>307017.977351169</v>
      </c>
      <c r="K5" s="45" t="n">
        <f aca="false">Revenue!K15</f>
        <v>321567.590085783</v>
      </c>
      <c r="L5" s="45" t="n">
        <f aca="false">Revenue!L15</f>
        <v>336906.887315525</v>
      </c>
      <c r="M5" s="45" t="n">
        <f aca="false">Revenue!M15</f>
        <v>353241.833320245</v>
      </c>
      <c r="N5" s="33" t="n">
        <f aca="false">SUM(B5:M5)</f>
        <v>3356741.83768292</v>
      </c>
    </row>
    <row r="6" customFormat="false" ht="15" hidden="false" customHeight="false" outlineLevel="0" collapsed="false">
      <c r="A6" s="23" t="s">
        <v>192</v>
      </c>
      <c r="B6" s="44" t="n">
        <f aca="false">Revenue!B22</f>
        <v>39386.4791666667</v>
      </c>
      <c r="C6" s="44" t="n">
        <f aca="false">Revenue!C22</f>
        <v>40120.1032083333</v>
      </c>
      <c r="D6" s="44" t="n">
        <f aca="false">Revenue!D22</f>
        <v>40950.4847112083</v>
      </c>
      <c r="E6" s="44" t="n">
        <f aca="false">Revenue!E22</f>
        <v>41857.5417362414</v>
      </c>
      <c r="F6" s="44" t="n">
        <f aca="false">Revenue!F22</f>
        <v>42821.2525901993</v>
      </c>
      <c r="G6" s="44" t="n">
        <f aca="false">Revenue!G22</f>
        <v>43881.0306449287</v>
      </c>
      <c r="H6" s="44" t="n">
        <f aca="false">Revenue!H22</f>
        <v>45016.7960321606</v>
      </c>
      <c r="I6" s="44" t="n">
        <f aca="false">Revenue!I22</f>
        <v>57552.0603732308</v>
      </c>
      <c r="J6" s="44" t="n">
        <f aca="false">Revenue!J22</f>
        <v>58839.1765983611</v>
      </c>
      <c r="K6" s="44" t="n">
        <f aca="false">Revenue!K22</f>
        <v>60221.3898081493</v>
      </c>
      <c r="L6" s="44" t="n">
        <f aca="false">Revenue!L22</f>
        <v>61678.6230449749</v>
      </c>
      <c r="M6" s="44" t="n">
        <f aca="false">Revenue!M22</f>
        <v>63230.4429154233</v>
      </c>
      <c r="N6" s="33" t="n">
        <f aca="false">SUM(B6:M6)</f>
        <v>595555.380829878</v>
      </c>
    </row>
    <row r="7" customFormat="false" ht="15" hidden="false" customHeight="false" outlineLevel="0" collapsed="false">
      <c r="A7" s="5" t="s">
        <v>226</v>
      </c>
      <c r="B7" s="40" t="n">
        <f aca="false">B5-B6</f>
        <v>182271.854166667</v>
      </c>
      <c r="C7" s="40" t="n">
        <f aca="false">C5-C6</f>
        <v>189260.588458333</v>
      </c>
      <c r="D7" s="40" t="n">
        <f aca="false">D5-D6</f>
        <v>197171.064880458</v>
      </c>
      <c r="E7" s="40" t="n">
        <f aca="false">E5-E6</f>
        <v>205811.976539984</v>
      </c>
      <c r="F7" s="40" t="n">
        <f aca="false">F5-F6</f>
        <v>214992.59046453</v>
      </c>
      <c r="G7" s="40" t="n">
        <f aca="false">G5-G6</f>
        <v>225088.370880637</v>
      </c>
      <c r="H7" s="40" t="n">
        <f aca="false">H5-H6</f>
        <v>235908.030622162</v>
      </c>
      <c r="I7" s="40" t="n">
        <f aca="false">I5-I6</f>
        <v>235917.325134462</v>
      </c>
      <c r="J7" s="40" t="n">
        <f aca="false">J5-J6</f>
        <v>248178.800752808</v>
      </c>
      <c r="K7" s="40" t="n">
        <f aca="false">K5-K6</f>
        <v>261346.200277633</v>
      </c>
      <c r="L7" s="40" t="n">
        <f aca="false">L5-L6</f>
        <v>275228.26427055</v>
      </c>
      <c r="M7" s="40" t="n">
        <f aca="false">M5-M6</f>
        <v>290011.390404822</v>
      </c>
      <c r="N7" s="40" t="n">
        <f aca="false">SUM(B7:M7)</f>
        <v>2761186.45685305</v>
      </c>
    </row>
    <row r="8" customFormat="false" ht="15" hidden="false" customHeight="false" outlineLevel="0" collapsed="false">
      <c r="A8" s="23" t="s">
        <v>198</v>
      </c>
      <c r="B8" s="29" t="n">
        <f aca="false">IF(B5=0,0,B7/B5)</f>
        <v>0.822309955261476</v>
      </c>
      <c r="C8" s="29" t="n">
        <f aca="false">IF(C5=0,0,C7/C5)</f>
        <v>0.825093808389786</v>
      </c>
      <c r="D8" s="29" t="n">
        <f aca="false">IF(D5=0,0,D7/D5)</f>
        <v>0.828026968657685</v>
      </c>
      <c r="E8" s="29" t="n">
        <f aca="false">IF(E5=0,0,E7/E5)</f>
        <v>0.830994374973679</v>
      </c>
      <c r="F8" s="29" t="n">
        <f aca="false">IF(F5=0,0,F7/F5)</f>
        <v>0.833906309751144</v>
      </c>
      <c r="G8" s="29" t="n">
        <f aca="false">IF(G5=0,0,G7/G5)</f>
        <v>0.836854934442207</v>
      </c>
      <c r="H8" s="29" t="n">
        <f aca="false">IF(H5=0,0,H7/H5)</f>
        <v>0.839755010020692</v>
      </c>
      <c r="I8" s="29" t="n">
        <f aca="false">IF(I5=0,0,I7/I5)</f>
        <v>0.803890752441971</v>
      </c>
      <c r="J8" s="29" t="n">
        <f aca="false">IF(J5=0,0,J7/J5)</f>
        <v>0.808352666817747</v>
      </c>
      <c r="K8" s="29" t="n">
        <f aca="false">IF(K5=0,0,K7/K5)</f>
        <v>0.812725561702022</v>
      </c>
      <c r="L8" s="29" t="n">
        <f aca="false">IF(L5=0,0,L7/L5)</f>
        <v>0.816926796788186</v>
      </c>
      <c r="M8" s="29" t="n">
        <f aca="false">IF(M5=0,0,M7/M5)</f>
        <v>0.820999561911742</v>
      </c>
      <c r="N8" s="27" t="n">
        <f aca="false">IF(N5=0,0,N7/N5)</f>
        <v>0.822579331498137</v>
      </c>
    </row>
    <row r="10" customFormat="false" ht="15" hidden="false" customHeight="false" outlineLevel="0" collapsed="false">
      <c r="A10" s="3" t="s">
        <v>227</v>
      </c>
      <c r="B10" s="4"/>
      <c r="C10" s="4"/>
      <c r="D10" s="4"/>
      <c r="E10" s="4"/>
      <c r="F10" s="4"/>
      <c r="G10" s="4"/>
      <c r="H10" s="4"/>
      <c r="I10" s="4"/>
      <c r="J10" s="4"/>
      <c r="K10" s="4"/>
      <c r="L10" s="4"/>
      <c r="M10" s="4"/>
      <c r="N10" s="4"/>
    </row>
    <row r="11" customFormat="false" ht="15" hidden="false" customHeight="false" outlineLevel="0" collapsed="false">
      <c r="A11" s="42" t="s">
        <v>161</v>
      </c>
      <c r="B11" s="44" t="n">
        <f aca="false">SUMIF(Headcount!$A$6:$A$35,"Engineering",Headcount!G$6:G$35)+SUMIF(OpEx!$A$5:$A$32,"Engineering",OpEx!C$5:C$32)</f>
        <v>97816.5583333333</v>
      </c>
      <c r="C11" s="44" t="n">
        <f aca="false">SUMIF(Headcount!$A$6:$A$35,"Engineering",Headcount!H$6:H$35)+SUMIF(OpEx!$A$5:$A$32,"Engineering",OpEx!D$5:D$32)</f>
        <v>115442.633333333</v>
      </c>
      <c r="D11" s="44" t="n">
        <f aca="false">SUMIF(Headcount!$A$6:$A$35,"Engineering",Headcount!I$6:I$35)+SUMIF(OpEx!$A$5:$A$32,"Engineering",OpEx!E$5:E$32)</f>
        <v>131570.883333333</v>
      </c>
      <c r="E11" s="44" t="n">
        <f aca="false">SUMIF(Headcount!$A$6:$A$35,"Engineering",Headcount!J$6:J$35)+SUMIF(OpEx!$A$5:$A$32,"Engineering",OpEx!F$5:F$32)</f>
        <v>131570.883333333</v>
      </c>
      <c r="F11" s="44" t="n">
        <f aca="false">SUMIF(Headcount!$A$6:$A$35,"Engineering",Headcount!K$6:K$35)+SUMIF(OpEx!$A$5:$A$32,"Engineering",OpEx!G$5:G$32)</f>
        <v>131570.883333333</v>
      </c>
      <c r="G11" s="44" t="n">
        <f aca="false">SUMIF(Headcount!$A$6:$A$35,"Engineering",Headcount!L$6:L$35)+SUMIF(OpEx!$A$5:$A$32,"Engineering",OpEx!H$5:H$32)</f>
        <v>131570.883333333</v>
      </c>
      <c r="H11" s="44" t="n">
        <f aca="false">SUMIF(Headcount!$A$6:$A$35,"Engineering",Headcount!M$6:M$35)+SUMIF(OpEx!$A$5:$A$32,"Engineering",OpEx!I$5:I$32)</f>
        <v>147699.133333333</v>
      </c>
      <c r="I11" s="44" t="n">
        <f aca="false">SUMIF(Headcount!$A$6:$A$35,"Engineering",Headcount!N$6:N$35)+SUMIF(OpEx!$A$5:$A$32,"Engineering",OpEx!J$5:J$32)</f>
        <v>147699.133333333</v>
      </c>
      <c r="J11" s="44" t="n">
        <f aca="false">SUMIF(Headcount!$A$6:$A$35,"Engineering",Headcount!O$6:O$35)+SUMIF(OpEx!$A$5:$A$32,"Engineering",OpEx!K$5:K$32)</f>
        <v>147699.133333333</v>
      </c>
      <c r="K11" s="44" t="n">
        <f aca="false">SUMIF(Headcount!$A$6:$A$35,"Engineering",Headcount!P$6:P$35)+SUMIF(OpEx!$A$5:$A$32,"Engineering",OpEx!L$5:L$32)</f>
        <v>147699.133333333</v>
      </c>
      <c r="L11" s="44" t="n">
        <f aca="false">SUMIF(Headcount!$A$6:$A$35,"Engineering",Headcount!Q$6:Q$35)+SUMIF(OpEx!$A$5:$A$32,"Engineering",OpEx!M$5:M$32)</f>
        <v>147699.133333333</v>
      </c>
      <c r="M11" s="44" t="n">
        <f aca="false">SUMIF(Headcount!$A$6:$A$35,"Engineering",Headcount!R$6:R$35)+SUMIF(OpEx!$A$5:$A$32,"Engineering",OpEx!N$5:N$32)</f>
        <v>147699.133333333</v>
      </c>
      <c r="N11" s="33" t="n">
        <f aca="false">SUM(B11:M11)</f>
        <v>1625737.525</v>
      </c>
    </row>
    <row r="12" customFormat="false" ht="15" hidden="false" customHeight="false" outlineLevel="0" collapsed="false">
      <c r="A12" s="42" t="s">
        <v>166</v>
      </c>
      <c r="B12" s="44" t="n">
        <f aca="false">SUMIF(Headcount!$A$6:$A$35,"Sales &amp; Marketing",Headcount!G$6:G$35)+SUMIF(OpEx!$A$5:$A$32,"Sales &amp; Marketing",OpEx!C$5:C$32)</f>
        <v>110037.4375</v>
      </c>
      <c r="C12" s="44" t="n">
        <f aca="false">SUMIF(Headcount!$A$6:$A$35,"Sales &amp; Marketing",Headcount!H$6:H$35)+SUMIF(OpEx!$A$5:$A$32,"Sales &amp; Marketing",OpEx!D$5:D$32)</f>
        <v>110037.4375</v>
      </c>
      <c r="D12" s="44" t="n">
        <f aca="false">SUMIF(Headcount!$A$6:$A$35,"Sales &amp; Marketing",Headcount!I$6:I$35)+SUMIF(OpEx!$A$5:$A$32,"Sales &amp; Marketing",OpEx!E$5:E$32)</f>
        <v>110037.4375</v>
      </c>
      <c r="E12" s="44" t="n">
        <f aca="false">SUMIF(Headcount!$A$6:$A$35,"Sales &amp; Marketing",Headcount!J$6:J$35)+SUMIF(OpEx!$A$5:$A$32,"Sales &amp; Marketing",OpEx!F$5:F$32)</f>
        <v>110037.4375</v>
      </c>
      <c r="F12" s="44" t="n">
        <f aca="false">SUMIF(Headcount!$A$6:$A$35,"Sales &amp; Marketing",Headcount!K$6:K$35)+SUMIF(OpEx!$A$5:$A$32,"Sales &amp; Marketing",OpEx!G$5:G$32)</f>
        <v>130603.6875</v>
      </c>
      <c r="G12" s="44" t="n">
        <f aca="false">SUMIF(Headcount!$A$6:$A$35,"Sales &amp; Marketing",Headcount!L$6:L$35)+SUMIF(OpEx!$A$5:$A$32,"Sales &amp; Marketing",OpEx!H$5:H$32)</f>
        <v>141369.354166667</v>
      </c>
      <c r="H12" s="44" t="n">
        <f aca="false">SUMIF(Headcount!$A$6:$A$35,"Sales &amp; Marketing",Headcount!M$6:M$35)+SUMIF(OpEx!$A$5:$A$32,"Sales &amp; Marketing",OpEx!I$5:I$32)</f>
        <v>141369.354166667</v>
      </c>
      <c r="I12" s="44" t="n">
        <f aca="false">SUMIF(Headcount!$A$6:$A$35,"Sales &amp; Marketing",Headcount!N$6:N$35)+SUMIF(OpEx!$A$5:$A$32,"Sales &amp; Marketing",OpEx!J$5:J$32)</f>
        <v>141369.354166667</v>
      </c>
      <c r="J12" s="44" t="n">
        <f aca="false">SUMIF(Headcount!$A$6:$A$35,"Sales &amp; Marketing",Headcount!O$6:O$35)+SUMIF(OpEx!$A$5:$A$32,"Sales &amp; Marketing",OpEx!K$5:K$32)</f>
        <v>141369.354166667</v>
      </c>
      <c r="K12" s="44" t="n">
        <f aca="false">SUMIF(Headcount!$A$6:$A$35,"Sales &amp; Marketing",Headcount!P$6:P$35)+SUMIF(OpEx!$A$5:$A$32,"Sales &amp; Marketing",OpEx!L$5:L$32)</f>
        <v>141369.354166667</v>
      </c>
      <c r="L12" s="44" t="n">
        <f aca="false">SUMIF(Headcount!$A$6:$A$35,"Sales &amp; Marketing",Headcount!Q$6:Q$35)+SUMIF(OpEx!$A$5:$A$32,"Sales &amp; Marketing",OpEx!M$5:M$32)</f>
        <v>141369.354166667</v>
      </c>
      <c r="M12" s="44" t="n">
        <f aca="false">SUMIF(Headcount!$A$6:$A$35,"Sales &amp; Marketing",Headcount!R$6:R$35)+SUMIF(OpEx!$A$5:$A$32,"Sales &amp; Marketing",OpEx!N$5:N$32)</f>
        <v>141369.354166667</v>
      </c>
      <c r="N12" s="33" t="n">
        <f aca="false">SUM(B12:M12)</f>
        <v>1560338.91666667</v>
      </c>
    </row>
    <row r="13" customFormat="false" ht="15" hidden="false" customHeight="false" outlineLevel="0" collapsed="false">
      <c r="A13" s="42" t="s">
        <v>171</v>
      </c>
      <c r="B13" s="44" t="n">
        <f aca="false">SUMIF(Headcount!$A$6:$A$35,"Customer Success",Headcount!G$6:G$35)+SUMIF(OpEx!$A$5:$A$32,"Customer Success",OpEx!C$5:C$32)</f>
        <v>18063.0208333333</v>
      </c>
      <c r="C13" s="44" t="n">
        <f aca="false">SUMIF(Headcount!$A$6:$A$35,"Customer Success",Headcount!H$6:H$35)+SUMIF(OpEx!$A$5:$A$32,"Customer Success",OpEx!D$5:D$32)</f>
        <v>18063.0208333333</v>
      </c>
      <c r="D13" s="44" t="n">
        <f aca="false">SUMIF(Headcount!$A$6:$A$35,"Customer Success",Headcount!I$6:I$35)+SUMIF(OpEx!$A$5:$A$32,"Customer Success",OpEx!E$5:E$32)</f>
        <v>18063.0208333333</v>
      </c>
      <c r="E13" s="44" t="n">
        <f aca="false">SUMIF(Headcount!$A$6:$A$35,"Customer Success",Headcount!J$6:J$35)+SUMIF(OpEx!$A$5:$A$32,"Customer Success",OpEx!F$5:F$32)</f>
        <v>18063.0208333333</v>
      </c>
      <c r="F13" s="44" t="n">
        <f aca="false">SUMIF(Headcount!$A$6:$A$35,"Customer Success",Headcount!K$6:K$35)+SUMIF(OpEx!$A$5:$A$32,"Customer Success",OpEx!G$5:G$32)</f>
        <v>18063.0208333333</v>
      </c>
      <c r="G13" s="44" t="n">
        <f aca="false">SUMIF(Headcount!$A$6:$A$35,"Customer Success",Headcount!L$6:L$35)+SUMIF(OpEx!$A$5:$A$32,"Customer Success",OpEx!H$5:H$32)</f>
        <v>18063.0208333333</v>
      </c>
      <c r="H13" s="44" t="n">
        <f aca="false">SUMIF(Headcount!$A$6:$A$35,"Customer Success",Headcount!M$6:M$35)+SUMIF(OpEx!$A$5:$A$32,"Customer Success",OpEx!I$5:I$32)</f>
        <v>18063.0208333333</v>
      </c>
      <c r="I13" s="44" t="n">
        <f aca="false">SUMIF(Headcount!$A$6:$A$35,"Customer Success",Headcount!N$6:N$35)+SUMIF(OpEx!$A$5:$A$32,"Customer Success",OpEx!J$5:J$32)</f>
        <v>18063.0208333333</v>
      </c>
      <c r="J13" s="44" t="n">
        <f aca="false">SUMIF(Headcount!$A$6:$A$35,"Customer Success",Headcount!O$6:O$35)+SUMIF(OpEx!$A$5:$A$32,"Customer Success",OpEx!K$5:K$32)</f>
        <v>28699.2458333333</v>
      </c>
      <c r="K13" s="44" t="n">
        <f aca="false">SUMIF(Headcount!$A$6:$A$35,"Customer Success",Headcount!P$6:P$35)+SUMIF(OpEx!$A$5:$A$32,"Customer Success",OpEx!L$5:L$32)</f>
        <v>28699.2458333333</v>
      </c>
      <c r="L13" s="44" t="n">
        <f aca="false">SUMIF(Headcount!$A$6:$A$35,"Customer Success",Headcount!Q$6:Q$35)+SUMIF(OpEx!$A$5:$A$32,"Customer Success",OpEx!M$5:M$32)</f>
        <v>28699.2458333333</v>
      </c>
      <c r="M13" s="44" t="n">
        <f aca="false">SUMIF(Headcount!$A$6:$A$35,"Customer Success",Headcount!R$6:R$35)+SUMIF(OpEx!$A$5:$A$32,"Customer Success",OpEx!N$5:N$32)</f>
        <v>28699.2458333333</v>
      </c>
      <c r="N13" s="33" t="n">
        <f aca="false">SUM(B13:M13)</f>
        <v>259301.15</v>
      </c>
    </row>
    <row r="14" customFormat="false" ht="15" hidden="false" customHeight="false" outlineLevel="0" collapsed="false">
      <c r="A14" s="42" t="s">
        <v>156</v>
      </c>
      <c r="B14" s="44" t="n">
        <f aca="false">SUMIF(Headcount!$A$6:$A$35,"G&amp;A",Headcount!G$6:G$35)+SUMIF(OpEx!$A$5:$A$32,"G&amp;A",OpEx!C$5:C$32)</f>
        <v>95175.0520833333</v>
      </c>
      <c r="C14" s="44" t="n">
        <f aca="false">SUMIF(Headcount!$A$6:$A$35,"G&amp;A",Headcount!H$6:H$35)+SUMIF(OpEx!$A$5:$A$32,"G&amp;A",OpEx!D$5:D$32)</f>
        <v>95175.0520833333</v>
      </c>
      <c r="D14" s="44" t="n">
        <f aca="false">SUMIF(Headcount!$A$6:$A$35,"G&amp;A",Headcount!I$6:I$35)+SUMIF(OpEx!$A$5:$A$32,"G&amp;A",OpEx!E$5:E$32)</f>
        <v>95175.0520833333</v>
      </c>
      <c r="E14" s="44" t="n">
        <f aca="false">SUMIF(Headcount!$A$6:$A$35,"G&amp;A",Headcount!J$6:J$35)+SUMIF(OpEx!$A$5:$A$32,"G&amp;A",OpEx!F$5:F$32)</f>
        <v>112801.127083333</v>
      </c>
      <c r="F14" s="44" t="n">
        <f aca="false">SUMIF(Headcount!$A$6:$A$35,"G&amp;A",Headcount!K$6:K$35)+SUMIF(OpEx!$A$5:$A$32,"G&amp;A",OpEx!G$5:G$32)</f>
        <v>112801.127083333</v>
      </c>
      <c r="G14" s="44" t="n">
        <f aca="false">SUMIF(Headcount!$A$6:$A$35,"G&amp;A",Headcount!L$6:L$35)+SUMIF(OpEx!$A$5:$A$32,"G&amp;A",OpEx!H$5:H$32)</f>
        <v>112801.127083333</v>
      </c>
      <c r="H14" s="44" t="n">
        <f aca="false">SUMIF(Headcount!$A$6:$A$35,"G&amp;A",Headcount!M$6:M$35)+SUMIF(OpEx!$A$5:$A$32,"G&amp;A",OpEx!I$5:I$32)</f>
        <v>112801.127083333</v>
      </c>
      <c r="I14" s="44" t="n">
        <f aca="false">SUMIF(Headcount!$A$6:$A$35,"G&amp;A",Headcount!N$6:N$35)+SUMIF(OpEx!$A$5:$A$32,"G&amp;A",OpEx!J$5:J$32)</f>
        <v>112801.127083333</v>
      </c>
      <c r="J14" s="44" t="n">
        <f aca="false">SUMIF(Headcount!$A$6:$A$35,"G&amp;A",Headcount!O$6:O$35)+SUMIF(OpEx!$A$5:$A$32,"G&amp;A",OpEx!K$5:K$32)</f>
        <v>112801.127083333</v>
      </c>
      <c r="K14" s="44" t="n">
        <f aca="false">SUMIF(Headcount!$A$6:$A$35,"G&amp;A",Headcount!P$6:P$35)+SUMIF(OpEx!$A$5:$A$32,"G&amp;A",OpEx!L$5:L$32)</f>
        <v>112801.127083333</v>
      </c>
      <c r="L14" s="44" t="n">
        <f aca="false">SUMIF(Headcount!$A$6:$A$35,"G&amp;A",Headcount!Q$6:Q$35)+SUMIF(OpEx!$A$5:$A$32,"G&amp;A",OpEx!M$5:M$32)</f>
        <v>112801.127083333</v>
      </c>
      <c r="M14" s="44" t="n">
        <f aca="false">SUMIF(Headcount!$A$6:$A$35,"G&amp;A",Headcount!R$6:R$35)+SUMIF(OpEx!$A$5:$A$32,"G&amp;A",OpEx!N$5:N$32)</f>
        <v>112801.127083333</v>
      </c>
      <c r="N14" s="33" t="n">
        <f aca="false">SUM(B14:M14)</f>
        <v>1300735.3</v>
      </c>
    </row>
    <row r="15" customFormat="false" ht="15" hidden="false" customHeight="false" outlineLevel="0" collapsed="false">
      <c r="A15" s="5" t="s">
        <v>228</v>
      </c>
      <c r="B15" s="40" t="n">
        <f aca="false">SUM(B11:B14)</f>
        <v>321092.06875</v>
      </c>
      <c r="C15" s="40" t="n">
        <f aca="false">SUM(C11:C14)</f>
        <v>338718.14375</v>
      </c>
      <c r="D15" s="40" t="n">
        <f aca="false">SUM(D11:D14)</f>
        <v>354846.39375</v>
      </c>
      <c r="E15" s="40" t="n">
        <f aca="false">SUM(E11:E14)</f>
        <v>372472.46875</v>
      </c>
      <c r="F15" s="40" t="n">
        <f aca="false">SUM(F11:F14)</f>
        <v>393038.71875</v>
      </c>
      <c r="G15" s="40" t="n">
        <f aca="false">SUM(G11:G14)</f>
        <v>403804.385416667</v>
      </c>
      <c r="H15" s="40" t="n">
        <f aca="false">SUM(H11:H14)</f>
        <v>419932.635416667</v>
      </c>
      <c r="I15" s="40" t="n">
        <f aca="false">SUM(I11:I14)</f>
        <v>419932.635416667</v>
      </c>
      <c r="J15" s="40" t="n">
        <f aca="false">SUM(J11:J14)</f>
        <v>430568.860416667</v>
      </c>
      <c r="K15" s="40" t="n">
        <f aca="false">SUM(K11:K14)</f>
        <v>430568.860416667</v>
      </c>
      <c r="L15" s="40" t="n">
        <f aca="false">SUM(L11:L14)</f>
        <v>430568.860416667</v>
      </c>
      <c r="M15" s="40" t="n">
        <f aca="false">SUM(M11:M14)</f>
        <v>430568.860416667</v>
      </c>
      <c r="N15" s="40" t="n">
        <f aca="false">SUM(B15:M15)</f>
        <v>4746112.89166667</v>
      </c>
    </row>
    <row r="17" customFormat="false" ht="15" hidden="false" customHeight="false" outlineLevel="0" collapsed="false">
      <c r="A17" s="5" t="s">
        <v>229</v>
      </c>
      <c r="B17" s="33" t="n">
        <f aca="false">B7-B15</f>
        <v>-138820.214583333</v>
      </c>
      <c r="C17" s="33" t="n">
        <f aca="false">C7-C15</f>
        <v>-149457.555291667</v>
      </c>
      <c r="D17" s="33" t="n">
        <f aca="false">D7-D15</f>
        <v>-157675.328869542</v>
      </c>
      <c r="E17" s="33" t="n">
        <f aca="false">E7-E15</f>
        <v>-166660.492210016</v>
      </c>
      <c r="F17" s="33" t="n">
        <f aca="false">F7-F15</f>
        <v>-178046.12828547</v>
      </c>
      <c r="G17" s="33" t="n">
        <f aca="false">G7-G15</f>
        <v>-178716.01453603</v>
      </c>
      <c r="H17" s="33" t="n">
        <f aca="false">H7-H15</f>
        <v>-184024.604794505</v>
      </c>
      <c r="I17" s="33" t="n">
        <f aca="false">I7-I15</f>
        <v>-184015.310282205</v>
      </c>
      <c r="J17" s="33" t="n">
        <f aca="false">J7-J15</f>
        <v>-182390.059663858</v>
      </c>
      <c r="K17" s="33" t="n">
        <f aca="false">K7-K15</f>
        <v>-169222.660139033</v>
      </c>
      <c r="L17" s="33" t="n">
        <f aca="false">L7-L15</f>
        <v>-155340.596146116</v>
      </c>
      <c r="M17" s="33" t="n">
        <f aca="false">M7-M15</f>
        <v>-140557.470011845</v>
      </c>
      <c r="N17" s="33" t="n">
        <f aca="false">SUM(B17:M17)</f>
        <v>-1984926.43481362</v>
      </c>
    </row>
    <row r="18" customFormat="false" ht="15" hidden="false" customHeight="false" outlineLevel="0" collapsed="false">
      <c r="A18" s="23" t="s">
        <v>230</v>
      </c>
      <c r="B18" s="29" t="n">
        <f aca="false">IF(B5=0,0,B17/B5)</f>
        <v>-0.626280151509455</v>
      </c>
      <c r="C18" s="29" t="n">
        <f aca="false">IF(C5=0,0,C17/C5)</f>
        <v>-0.651569904187301</v>
      </c>
      <c r="D18" s="29" t="n">
        <f aca="false">IF(D5=0,0,D17/D5)</f>
        <v>-0.662163206731709</v>
      </c>
      <c r="E18" s="29" t="n">
        <f aca="false">IF(E5=0,0,E17/E5)</f>
        <v>-0.672914831707875</v>
      </c>
      <c r="F18" s="29" t="n">
        <f aca="false">IF(F5=0,0,F17/F5)</f>
        <v>-0.690599566632554</v>
      </c>
      <c r="G18" s="29" t="n">
        <f aca="false">IF(G5=0,0,G17/G5)</f>
        <v>-0.664447381458158</v>
      </c>
      <c r="H18" s="29" t="n">
        <f aca="false">IF(H5=0,0,H17/H5)</f>
        <v>-0.655067076079208</v>
      </c>
      <c r="I18" s="29" t="n">
        <f aca="false">IF(I5=0,0,I17/I5)</f>
        <v>-0.627034094080595</v>
      </c>
      <c r="J18" s="29" t="n">
        <f aca="false">IF(J5=0,0,J17/J5)</f>
        <v>-0.594069641255044</v>
      </c>
      <c r="K18" s="29" t="n">
        <f aca="false">IF(K5=0,0,K17/K5)</f>
        <v>-0.526242896847568</v>
      </c>
      <c r="L18" s="29" t="n">
        <f aca="false">IF(L5=0,0,L17/L5)</f>
        <v>-0.461078719357359</v>
      </c>
      <c r="M18" s="29" t="n">
        <f aca="false">IF(M5=0,0,M17/M5)</f>
        <v>-0.397907203375928</v>
      </c>
      <c r="N18" s="27" t="n">
        <f aca="false">IF(N5=0,0,N17/N5)</f>
        <v>-0.591325318060136</v>
      </c>
    </row>
    <row r="20" customFormat="false" ht="15" hidden="false" customHeight="false" outlineLevel="0" collapsed="false">
      <c r="A20" s="23" t="s">
        <v>231</v>
      </c>
      <c r="B20" s="44" t="n">
        <f aca="false">Assumptions!$B$23</f>
        <v>42000</v>
      </c>
      <c r="C20" s="44" t="n">
        <f aca="false">Assumptions!$B$23</f>
        <v>42000</v>
      </c>
      <c r="D20" s="44" t="n">
        <f aca="false">Assumptions!$B$23</f>
        <v>42000</v>
      </c>
      <c r="E20" s="44" t="n">
        <f aca="false">Assumptions!$B$23</f>
        <v>42000</v>
      </c>
      <c r="F20" s="44" t="n">
        <f aca="false">Assumptions!$B$23</f>
        <v>42000</v>
      </c>
      <c r="G20" s="44" t="n">
        <f aca="false">Assumptions!$B$23</f>
        <v>42000</v>
      </c>
      <c r="H20" s="44" t="n">
        <f aca="false">Assumptions!$B$23</f>
        <v>42000</v>
      </c>
      <c r="I20" s="44" t="n">
        <f aca="false">Assumptions!$B$23</f>
        <v>42000</v>
      </c>
      <c r="J20" s="44" t="n">
        <f aca="false">Assumptions!$B$23</f>
        <v>42000</v>
      </c>
      <c r="K20" s="44" t="n">
        <f aca="false">Assumptions!$B$23</f>
        <v>42000</v>
      </c>
      <c r="L20" s="44" t="n">
        <f aca="false">Assumptions!$B$23</f>
        <v>42000</v>
      </c>
      <c r="M20" s="44" t="n">
        <f aca="false">Assumptions!$B$23</f>
        <v>42000</v>
      </c>
      <c r="N20" s="33" t="n">
        <f aca="false">SUM(B20:M20)</f>
        <v>504000</v>
      </c>
    </row>
    <row r="21" customFormat="false" ht="15" hidden="false" customHeight="false" outlineLevel="0" collapsed="false">
      <c r="A21" s="23" t="s">
        <v>232</v>
      </c>
      <c r="B21" s="39" t="n">
        <f aca="false">'Balance Sheet'!B9*Assumptions!$B$25</f>
        <v>3360</v>
      </c>
      <c r="C21" s="39" t="n">
        <f aca="false">'Balance Sheet'!C9*Assumptions!$B$25</f>
        <v>3489.92</v>
      </c>
      <c r="D21" s="39" t="n">
        <f aca="false">'Balance Sheet'!D9*Assumptions!$B$25</f>
        <v>3616.20224</v>
      </c>
      <c r="E21" s="39" t="n">
        <f aca="false">'Balance Sheet'!E9*Assumptions!$B$25</f>
        <v>3738.94857728</v>
      </c>
      <c r="F21" s="39" t="n">
        <f aca="false">'Balance Sheet'!F9*Assumptions!$B$25</f>
        <v>3858.25801711616</v>
      </c>
      <c r="G21" s="39" t="n">
        <f aca="false">'Balance Sheet'!G9*Assumptions!$B$25</f>
        <v>3974.22679263691</v>
      </c>
      <c r="H21" s="39" t="n">
        <f aca="false">'Balance Sheet'!H9*Assumptions!$B$25</f>
        <v>4086.94844244307</v>
      </c>
      <c r="I21" s="39" t="n">
        <f aca="false">'Balance Sheet'!I9*Assumptions!$B$25</f>
        <v>4196.51388605467</v>
      </c>
      <c r="J21" s="39" t="n">
        <f aca="false">'Balance Sheet'!J9*Assumptions!$B$25</f>
        <v>4303.01149724514</v>
      </c>
      <c r="K21" s="39" t="n">
        <f aca="false">'Balance Sheet'!K9*Assumptions!$B$25</f>
        <v>4406.52717532227</v>
      </c>
      <c r="L21" s="39" t="n">
        <f aca="false">'Balance Sheet'!L9*Assumptions!$B$25</f>
        <v>4507.14441441325</v>
      </c>
      <c r="M21" s="39" t="n">
        <f aca="false">'Balance Sheet'!M9*Assumptions!$B$25</f>
        <v>4604.94437080968</v>
      </c>
      <c r="N21" s="33" t="n">
        <f aca="false">SUM(B21:M21)</f>
        <v>48142.6454133212</v>
      </c>
    </row>
    <row r="22" customFormat="false" ht="15" hidden="false" customHeight="false" outlineLevel="0" collapsed="false">
      <c r="A22" s="5" t="s">
        <v>233</v>
      </c>
      <c r="B22" s="40" t="n">
        <f aca="false">B17-B20-B21</f>
        <v>-184180.214583333</v>
      </c>
      <c r="C22" s="40" t="n">
        <f aca="false">C17-C20-C21</f>
        <v>-194947.475291667</v>
      </c>
      <c r="D22" s="40" t="n">
        <f aca="false">D17-D20-D21</f>
        <v>-203291.531109542</v>
      </c>
      <c r="E22" s="40" t="n">
        <f aca="false">E17-E20-E21</f>
        <v>-212399.440787296</v>
      </c>
      <c r="F22" s="40" t="n">
        <f aca="false">F17-F20-F21</f>
        <v>-223904.386302586</v>
      </c>
      <c r="G22" s="40" t="n">
        <f aca="false">G17-G20-G21</f>
        <v>-224690.241328667</v>
      </c>
      <c r="H22" s="40" t="n">
        <f aca="false">H17-H20-H21</f>
        <v>-230111.553236948</v>
      </c>
      <c r="I22" s="40" t="n">
        <f aca="false">I17-I20-I21</f>
        <v>-230211.82416826</v>
      </c>
      <c r="J22" s="40" t="n">
        <f aca="false">J17-J20-J21</f>
        <v>-228693.071161104</v>
      </c>
      <c r="K22" s="40" t="n">
        <f aca="false">K17-K20-K21</f>
        <v>-215629.187314356</v>
      </c>
      <c r="L22" s="40" t="n">
        <f aca="false">L17-L20-L21</f>
        <v>-201847.74056053</v>
      </c>
      <c r="M22" s="40" t="n">
        <f aca="false">M17-M20-M21</f>
        <v>-187162.414382654</v>
      </c>
      <c r="N22" s="40" t="n">
        <f aca="false">SUM(B22:M22)</f>
        <v>-2537069.08022694</v>
      </c>
    </row>
    <row r="23" customFormat="false" ht="15" hidden="false" customHeight="false" outlineLevel="0" collapsed="false">
      <c r="A23" s="23" t="s">
        <v>234</v>
      </c>
      <c r="B23" s="39" t="n">
        <f aca="false">'Cash Flow'!B26*Assumptions!$B$26/12</f>
        <v>9500</v>
      </c>
      <c r="C23" s="39" t="n">
        <f aca="false">'Cash Flow'!C26*Assumptions!$B$26/12</f>
        <v>9066.14919259784</v>
      </c>
      <c r="D23" s="39" t="n">
        <f aca="false">'Cash Flow'!D26*Assumptions!$B$26/12</f>
        <v>8666.49707585661</v>
      </c>
      <c r="E23" s="39" t="n">
        <f aca="false">'Cash Flow'!E26*Assumptions!$B$26/12</f>
        <v>8242.12495821785</v>
      </c>
      <c r="F23" s="39" t="n">
        <f aca="false">'Cash Flow'!F26*Assumptions!$B$26/12</f>
        <v>7790.63619902774</v>
      </c>
      <c r="G23" s="39" t="n">
        <f aca="false">'Cash Flow'!G26*Assumptions!$B$26/12</f>
        <v>7311.90598066523</v>
      </c>
      <c r="H23" s="39" t="n">
        <f aca="false">'Cash Flow'!H26*Assumptions!$B$26/12</f>
        <v>6814.6794143387</v>
      </c>
      <c r="I23" s="39" t="n">
        <f aca="false">'Cash Flow'!I26*Assumptions!$B$26/12</f>
        <v>6309.81921555925</v>
      </c>
      <c r="J23" s="39" t="n">
        <f aca="false">'Cash Flow'!J26*Assumptions!$B$26/12</f>
        <v>5773.64413248806</v>
      </c>
      <c r="K23" s="39" t="n">
        <f aca="false">'Cash Flow'!K26*Assumptions!$B$26/12</f>
        <v>5268.85916549794</v>
      </c>
      <c r="L23" s="39" t="n">
        <f aca="false">'Cash Flow'!L26*Assumptions!$B$26/12</f>
        <v>4783.9550181922</v>
      </c>
      <c r="M23" s="39" t="n">
        <f aca="false">'Cash Flow'!M26*Assumptions!$B$26/12</f>
        <v>4344.51725214119</v>
      </c>
      <c r="N23" s="33" t="n">
        <f aca="false">SUM(B23:M23)</f>
        <v>83872.7876045826</v>
      </c>
    </row>
    <row r="24" customFormat="false" ht="15" hidden="false" customHeight="false" outlineLevel="0" collapsed="false">
      <c r="A24" s="5" t="s">
        <v>235</v>
      </c>
      <c r="B24" s="40" t="n">
        <f aca="false">B22+B23</f>
        <v>-174680.214583333</v>
      </c>
      <c r="C24" s="40" t="n">
        <f aca="false">C22+C23</f>
        <v>-185881.326099069</v>
      </c>
      <c r="D24" s="40" t="n">
        <f aca="false">D22+D23</f>
        <v>-194625.034033685</v>
      </c>
      <c r="E24" s="40" t="n">
        <f aca="false">E22+E23</f>
        <v>-204157.315829079</v>
      </c>
      <c r="F24" s="40" t="n">
        <f aca="false">F22+F23</f>
        <v>-216113.750103558</v>
      </c>
      <c r="G24" s="40" t="n">
        <f aca="false">G22+G23</f>
        <v>-217378.335348002</v>
      </c>
      <c r="H24" s="40" t="n">
        <f aca="false">H22+H23</f>
        <v>-223296.87382261</v>
      </c>
      <c r="I24" s="40" t="n">
        <f aca="false">I22+I23</f>
        <v>-223902.0049527</v>
      </c>
      <c r="J24" s="40" t="n">
        <f aca="false">J22+J23</f>
        <v>-222919.427028615</v>
      </c>
      <c r="K24" s="40" t="n">
        <f aca="false">K22+K23</f>
        <v>-210360.328148858</v>
      </c>
      <c r="L24" s="40" t="n">
        <f aca="false">L22+L23</f>
        <v>-197063.785542337</v>
      </c>
      <c r="M24" s="40" t="n">
        <f aca="false">M22+M23</f>
        <v>-182817.897130513</v>
      </c>
      <c r="N24" s="40" t="n">
        <f aca="false">SUM(B24:M24)</f>
        <v>-2453196.29262236</v>
      </c>
    </row>
    <row r="26" customFormat="false" ht="15" hidden="false" customHeight="false" outlineLevel="0" collapsed="false">
      <c r="A26" s="23" t="s">
        <v>236</v>
      </c>
      <c r="B26" s="46" t="n">
        <f aca="false">Headcount!G38</f>
        <v>12</v>
      </c>
      <c r="C26" s="46" t="n">
        <f aca="false">Headcount!H38</f>
        <v>13</v>
      </c>
      <c r="D26" s="46" t="n">
        <f aca="false">Headcount!I38</f>
        <v>14</v>
      </c>
      <c r="E26" s="46" t="n">
        <f aca="false">Headcount!J38</f>
        <v>15</v>
      </c>
      <c r="F26" s="46" t="n">
        <f aca="false">Headcount!K38</f>
        <v>16</v>
      </c>
      <c r="G26" s="46" t="n">
        <f aca="false">Headcount!L38</f>
        <v>17</v>
      </c>
      <c r="H26" s="46" t="n">
        <f aca="false">Headcount!M38</f>
        <v>18</v>
      </c>
      <c r="I26" s="46" t="n">
        <f aca="false">Headcount!N38</f>
        <v>19</v>
      </c>
      <c r="J26" s="46" t="n">
        <f aca="false">Headcount!O38</f>
        <v>20</v>
      </c>
      <c r="K26" s="46" t="n">
        <f aca="false">Headcount!P38</f>
        <v>20</v>
      </c>
      <c r="L26" s="46" t="n">
        <f aca="false">Headcount!Q38</f>
        <v>20</v>
      </c>
      <c r="M26" s="46" t="n">
        <f aca="false">Headcount!R38</f>
        <v>20</v>
      </c>
    </row>
    <row r="27" customFormat="false" ht="15" hidden="false" customHeight="false" outlineLevel="0" collapsed="false">
      <c r="A27" s="23" t="s">
        <v>237</v>
      </c>
      <c r="B27" s="44" t="n">
        <f aca="false">'Cash Flow'!C29</f>
        <v>137005.518126998</v>
      </c>
      <c r="C27" s="44" t="n">
        <f aca="false">'Cash Flow'!D29</f>
        <v>126205.931602494</v>
      </c>
      <c r="D27" s="44" t="n">
        <f aca="false">'Cash Flow'!E29</f>
        <v>134012.247675398</v>
      </c>
      <c r="E27" s="44" t="n">
        <f aca="false">'Cash Flow'!F29</f>
        <v>142575.397638982</v>
      </c>
      <c r="F27" s="44" t="n">
        <f aca="false">'Cash Flow'!G29</f>
        <v>151177.963693426</v>
      </c>
      <c r="G27" s="44" t="n">
        <f aca="false">'Cash Flow'!H29</f>
        <v>157018.91568206</v>
      </c>
      <c r="H27" s="44" t="n">
        <f aca="false">'Cash Flow'!I29</f>
        <v>159429.536456669</v>
      </c>
      <c r="I27" s="44" t="n">
        <f aca="false">'Cash Flow'!J29</f>
        <v>169318.447285638</v>
      </c>
      <c r="J27" s="44" t="n">
        <f aca="false">'Cash Flow'!K29</f>
        <v>159405.779049514</v>
      </c>
      <c r="K27" s="44" t="n">
        <f aca="false">'Cash Flow'!L29</f>
        <v>153127.62546497</v>
      </c>
      <c r="L27" s="44" t="n">
        <f aca="false">'Cash Flow'!M29</f>
        <v>138769.820858214</v>
      </c>
      <c r="M27" s="44" t="n">
        <f aca="false">'Cash Flow'!N29</f>
        <v>122651.588841213</v>
      </c>
      <c r="N27" s="33" t="n">
        <f aca="false">SUM(B27:M27)</f>
        <v>1750698.77237557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4"/>
    <col collapsed="false" customWidth="true" hidden="false" outlineLevel="0" max="14" min="3" style="0" width="13"/>
  </cols>
  <sheetData>
    <row r="1" customFormat="false" ht="17.35" hidden="false" customHeight="false" outlineLevel="0" collapsed="false">
      <c r="A1" s="14" t="s">
        <v>238</v>
      </c>
    </row>
    <row r="2" customFormat="false" ht="15" hidden="false" customHeight="false" outlineLevel="0" collapsed="false">
      <c r="A2" s="21" t="s">
        <v>239</v>
      </c>
    </row>
    <row r="4" customFormat="false" ht="15" hidden="false" customHeight="false" outlineLevel="0" collapsed="false">
      <c r="B4" s="35" t="s">
        <v>240</v>
      </c>
      <c r="C4" s="35" t="s">
        <v>142</v>
      </c>
      <c r="D4" s="35" t="s">
        <v>143</v>
      </c>
      <c r="E4" s="35" t="s">
        <v>144</v>
      </c>
      <c r="F4" s="35" t="s">
        <v>145</v>
      </c>
      <c r="G4" s="35" t="s">
        <v>146</v>
      </c>
      <c r="H4" s="35" t="s">
        <v>147</v>
      </c>
      <c r="I4" s="35" t="s">
        <v>148</v>
      </c>
      <c r="J4" s="35" t="s">
        <v>149</v>
      </c>
      <c r="K4" s="35" t="s">
        <v>150</v>
      </c>
      <c r="L4" s="35" t="s">
        <v>151</v>
      </c>
      <c r="M4" s="35" t="s">
        <v>152</v>
      </c>
      <c r="N4" s="35" t="s">
        <v>153</v>
      </c>
    </row>
    <row r="5" customFormat="false" ht="15" hidden="false" customHeight="false" outlineLevel="0" collapsed="false">
      <c r="A5" s="3" t="s">
        <v>241</v>
      </c>
      <c r="B5" s="4"/>
      <c r="C5" s="4"/>
      <c r="D5" s="4"/>
      <c r="E5" s="4"/>
      <c r="F5" s="4"/>
      <c r="G5" s="4"/>
      <c r="H5" s="4"/>
      <c r="I5" s="4"/>
      <c r="J5" s="4"/>
      <c r="K5" s="4"/>
      <c r="L5" s="4"/>
      <c r="M5" s="4"/>
      <c r="N5" s="4"/>
      <c r="O5" s="4"/>
    </row>
    <row r="6" customFormat="false" ht="15" hidden="false" customHeight="false" outlineLevel="0" collapsed="false">
      <c r="A6" s="42" t="s">
        <v>111</v>
      </c>
      <c r="B6" s="44" t="n">
        <f aca="false">Assumptions!B28</f>
        <v>3000000</v>
      </c>
      <c r="C6" s="44" t="n">
        <f aca="false">'Cash Flow'!C26</f>
        <v>2862994.481873</v>
      </c>
      <c r="D6" s="44" t="n">
        <f aca="false">'Cash Flow'!D26</f>
        <v>2736788.55027051</v>
      </c>
      <c r="E6" s="44" t="n">
        <f aca="false">'Cash Flow'!E26</f>
        <v>2602776.30259511</v>
      </c>
      <c r="F6" s="44" t="n">
        <f aca="false">'Cash Flow'!F26</f>
        <v>2460200.90495613</v>
      </c>
      <c r="G6" s="44" t="n">
        <f aca="false">'Cash Flow'!G26</f>
        <v>2309022.9412627</v>
      </c>
      <c r="H6" s="44" t="n">
        <f aca="false">'Cash Flow'!H26</f>
        <v>2152004.02558064</v>
      </c>
      <c r="I6" s="44" t="n">
        <f aca="false">'Cash Flow'!I26</f>
        <v>1992574.48912397</v>
      </c>
      <c r="J6" s="44" t="n">
        <f aca="false">'Cash Flow'!J26</f>
        <v>1823256.04183834</v>
      </c>
      <c r="K6" s="44" t="n">
        <f aca="false">'Cash Flow'!K26</f>
        <v>1663850.26278882</v>
      </c>
      <c r="L6" s="44" t="n">
        <f aca="false">'Cash Flow'!L26</f>
        <v>1510722.63732385</v>
      </c>
      <c r="M6" s="44" t="n">
        <f aca="false">'Cash Flow'!M26</f>
        <v>1371952.81646564</v>
      </c>
      <c r="N6" s="44" t="n">
        <f aca="false">'Cash Flow'!N26</f>
        <v>1249301.22762443</v>
      </c>
    </row>
    <row r="7" customFormat="false" ht="15" hidden="false" customHeight="false" outlineLevel="0" collapsed="false">
      <c r="A7" s="42" t="s">
        <v>113</v>
      </c>
      <c r="B7" s="44" t="n">
        <f aca="false">Assumptions!B29</f>
        <v>328000</v>
      </c>
      <c r="C7" s="39" t="n">
        <f aca="false">Revenue!B15*12/365*Assumptions!$B$14</f>
        <v>327932.876712329</v>
      </c>
      <c r="D7" s="39" t="n">
        <f aca="false">Revenue!C15*12/365*Assumptions!$B$14</f>
        <v>339357.735616438</v>
      </c>
      <c r="E7" s="39" t="n">
        <f aca="false">Revenue!D15*12/365*Assumptions!$B$14</f>
        <v>352289.415834247</v>
      </c>
      <c r="F7" s="39" t="n">
        <f aca="false">Revenue!E15*12/365*Assumptions!$B$14</f>
        <v>366415.17772373</v>
      </c>
      <c r="G7" s="39" t="n">
        <f aca="false">Revenue!F15*12/365*Assumptions!$B$14</f>
        <v>381423.219861792</v>
      </c>
      <c r="H7" s="39" t="n">
        <f aca="false">Revenue!G15*12/365*Assumptions!$B$14</f>
        <v>397927.33376385</v>
      </c>
      <c r="I7" s="39" t="n">
        <f aca="false">Revenue!H15*12/365*Assumptions!$B$14</f>
        <v>415614.812036531</v>
      </c>
      <c r="J7" s="39" t="n">
        <f aca="false">Revenue!I15*12/365*Assumptions!$B$14</f>
        <v>434173.885408641</v>
      </c>
      <c r="K7" s="39" t="n">
        <f aca="false">Revenue!J15*12/365*Assumptions!$B$14</f>
        <v>454218.377451045</v>
      </c>
      <c r="L7" s="39" t="n">
        <f aca="false">Revenue!K15*12/365*Assumptions!$B$14</f>
        <v>475743.831907733</v>
      </c>
      <c r="M7" s="39" t="n">
        <f aca="false">Revenue!L15*12/365*Assumptions!$B$14</f>
        <v>498437.58671338</v>
      </c>
      <c r="N7" s="39" t="n">
        <f aca="false">Revenue!M15*12/365*Assumptions!$B$14</f>
        <v>522604.356145021</v>
      </c>
    </row>
    <row r="8" customFormat="false" ht="15" hidden="false" customHeight="false" outlineLevel="0" collapsed="false">
      <c r="A8" s="42" t="s">
        <v>115</v>
      </c>
      <c r="B8" s="44" t="n">
        <f aca="false">Assumptions!B30</f>
        <v>26000</v>
      </c>
      <c r="C8" s="39" t="n">
        <f aca="false">'P&amp;L'!B15*Assumptions!$B$21</f>
        <v>25687.3655</v>
      </c>
      <c r="D8" s="39" t="n">
        <f aca="false">'P&amp;L'!C15*Assumptions!$B$21</f>
        <v>27097.4515</v>
      </c>
      <c r="E8" s="39" t="n">
        <f aca="false">'P&amp;L'!D15*Assumptions!$B$21</f>
        <v>28387.7115</v>
      </c>
      <c r="F8" s="39" t="n">
        <f aca="false">'P&amp;L'!E15*Assumptions!$B$21</f>
        <v>29797.7975</v>
      </c>
      <c r="G8" s="39" t="n">
        <f aca="false">'P&amp;L'!F15*Assumptions!$B$21</f>
        <v>31443.0975</v>
      </c>
      <c r="H8" s="39" t="n">
        <f aca="false">'P&amp;L'!G15*Assumptions!$B$21</f>
        <v>32304.3508333333</v>
      </c>
      <c r="I8" s="39" t="n">
        <f aca="false">'P&amp;L'!H15*Assumptions!$B$21</f>
        <v>33594.6108333333</v>
      </c>
      <c r="J8" s="39" t="n">
        <f aca="false">'P&amp;L'!I15*Assumptions!$B$21</f>
        <v>33594.6108333333</v>
      </c>
      <c r="K8" s="39" t="n">
        <f aca="false">'P&amp;L'!J15*Assumptions!$B$21</f>
        <v>34445.5088333333</v>
      </c>
      <c r="L8" s="39" t="n">
        <f aca="false">'P&amp;L'!K15*Assumptions!$B$21</f>
        <v>34445.5088333333</v>
      </c>
      <c r="M8" s="39" t="n">
        <f aca="false">'P&amp;L'!L15*Assumptions!$B$21</f>
        <v>34445.5088333333</v>
      </c>
      <c r="N8" s="39" t="n">
        <f aca="false">'P&amp;L'!M15*Assumptions!$B$21</f>
        <v>34445.5088333333</v>
      </c>
    </row>
    <row r="9" customFormat="false" ht="15" hidden="false" customHeight="false" outlineLevel="0" collapsed="false">
      <c r="A9" s="42" t="s">
        <v>242</v>
      </c>
      <c r="B9" s="44" t="n">
        <f aca="false">Assumptions!B31</f>
        <v>120000</v>
      </c>
      <c r="C9" s="39" t="n">
        <f aca="false">B9+Assumptions!$B$24-'P&amp;L'!B21</f>
        <v>124640</v>
      </c>
      <c r="D9" s="39" t="n">
        <f aca="false">C9+Assumptions!$B$24-'P&amp;L'!C21</f>
        <v>129150.08</v>
      </c>
      <c r="E9" s="39" t="n">
        <f aca="false">D9+Assumptions!$B$24-'P&amp;L'!D21</f>
        <v>133533.87776</v>
      </c>
      <c r="F9" s="39" t="n">
        <f aca="false">E9+Assumptions!$B$24-'P&amp;L'!E21</f>
        <v>137794.92918272</v>
      </c>
      <c r="G9" s="39" t="n">
        <f aca="false">F9+Assumptions!$B$24-'P&amp;L'!F21</f>
        <v>141936.671165604</v>
      </c>
      <c r="H9" s="39" t="n">
        <f aca="false">G9+Assumptions!$B$24-'P&amp;L'!G21</f>
        <v>145962.444372967</v>
      </c>
      <c r="I9" s="39" t="n">
        <f aca="false">H9+Assumptions!$B$24-'P&amp;L'!H21</f>
        <v>149875.495930524</v>
      </c>
      <c r="J9" s="39" t="n">
        <f aca="false">I9+Assumptions!$B$24-'P&amp;L'!I21</f>
        <v>153678.982044469</v>
      </c>
      <c r="K9" s="39" t="n">
        <f aca="false">J9+Assumptions!$B$24-'P&amp;L'!J21</f>
        <v>157375.970547224</v>
      </c>
      <c r="L9" s="39" t="n">
        <f aca="false">K9+Assumptions!$B$24-'P&amp;L'!K21</f>
        <v>160969.443371902</v>
      </c>
      <c r="M9" s="39" t="n">
        <f aca="false">L9+Assumptions!$B$24-'P&amp;L'!L21</f>
        <v>164462.298957489</v>
      </c>
      <c r="N9" s="39" t="n">
        <f aca="false">M9+Assumptions!$B$24-'P&amp;L'!M21</f>
        <v>167857.354586679</v>
      </c>
    </row>
    <row r="10" customFormat="false" ht="15" hidden="false" customHeight="false" outlineLevel="0" collapsed="false">
      <c r="A10" s="5" t="s">
        <v>243</v>
      </c>
      <c r="B10" s="40" t="n">
        <f aca="false">SUM(B6:B9)</f>
        <v>3474000</v>
      </c>
      <c r="C10" s="40" t="n">
        <f aca="false">SUM(C6:C9)</f>
        <v>3341254.72408533</v>
      </c>
      <c r="D10" s="40" t="n">
        <f aca="false">SUM(D6:D9)</f>
        <v>3232393.81738695</v>
      </c>
      <c r="E10" s="40" t="n">
        <f aca="false">SUM(E6:E9)</f>
        <v>3116987.30768936</v>
      </c>
      <c r="F10" s="40" t="n">
        <f aca="false">SUM(F6:F9)</f>
        <v>2994208.80936258</v>
      </c>
      <c r="G10" s="40" t="n">
        <f aca="false">SUM(G6:G9)</f>
        <v>2863825.9297901</v>
      </c>
      <c r="H10" s="40" t="n">
        <f aca="false">SUM(H6:H9)</f>
        <v>2728198.15455079</v>
      </c>
      <c r="I10" s="40" t="n">
        <f aca="false">SUM(I6:I9)</f>
        <v>2591659.40792436</v>
      </c>
      <c r="J10" s="40" t="n">
        <f aca="false">SUM(J6:J9)</f>
        <v>2444703.52012478</v>
      </c>
      <c r="K10" s="40" t="n">
        <f aca="false">SUM(K6:K9)</f>
        <v>2309890.11962042</v>
      </c>
      <c r="L10" s="40" t="n">
        <f aca="false">SUM(L6:L9)</f>
        <v>2181881.42143682</v>
      </c>
      <c r="M10" s="40" t="n">
        <f aca="false">SUM(M6:M9)</f>
        <v>2069298.21096984</v>
      </c>
      <c r="N10" s="40" t="n">
        <f aca="false">SUM(N6:N9)</f>
        <v>1974208.44718946</v>
      </c>
    </row>
    <row r="12" customFormat="false" ht="15" hidden="false" customHeight="false" outlineLevel="0" collapsed="false">
      <c r="A12" s="3" t="s">
        <v>244</v>
      </c>
      <c r="B12" s="4"/>
      <c r="C12" s="4"/>
      <c r="D12" s="4"/>
      <c r="E12" s="4"/>
      <c r="F12" s="4"/>
      <c r="G12" s="4"/>
      <c r="H12" s="4"/>
      <c r="I12" s="4"/>
      <c r="J12" s="4"/>
      <c r="K12" s="4"/>
      <c r="L12" s="4"/>
      <c r="M12" s="4"/>
      <c r="N12" s="4"/>
      <c r="O12" s="4"/>
    </row>
    <row r="13" customFormat="false" ht="15" hidden="false" customHeight="false" outlineLevel="0" collapsed="false">
      <c r="A13" s="42" t="s">
        <v>119</v>
      </c>
      <c r="B13" s="44" t="n">
        <f aca="false">Assumptions!B32</f>
        <v>190000</v>
      </c>
      <c r="C13" s="39" t="n">
        <f aca="false">'P&amp;L'!B15*0.6*12/365*Assumptions!$B$19</f>
        <v>190016.128356164</v>
      </c>
      <c r="D13" s="39" t="n">
        <f aca="false">'P&amp;L'!C15*0.6*12/365*Assumptions!$B$19</f>
        <v>200446.901506849</v>
      </c>
      <c r="E13" s="39" t="n">
        <f aca="false">'P&amp;L'!D15*0.6*12/365*Assumptions!$B$19</f>
        <v>209991.290547945</v>
      </c>
      <c r="F13" s="39" t="n">
        <f aca="false">'P&amp;L'!E15*0.6*12/365*Assumptions!$B$19</f>
        <v>220422.06369863</v>
      </c>
      <c r="G13" s="39" t="n">
        <f aca="false">'P&amp;L'!F15*0.6*12/365*Assumptions!$B$19</f>
        <v>232592.776027397</v>
      </c>
      <c r="H13" s="39" t="n">
        <f aca="false">'P&amp;L'!G15*0.6*12/365*Assumptions!$B$19</f>
        <v>238963.69109589</v>
      </c>
      <c r="I13" s="39" t="n">
        <f aca="false">'P&amp;L'!H15*0.6*12/365*Assumptions!$B$19</f>
        <v>248508.080136986</v>
      </c>
      <c r="J13" s="39" t="n">
        <f aca="false">'P&amp;L'!I15*0.6*12/365*Assumptions!$B$19</f>
        <v>248508.080136986</v>
      </c>
      <c r="K13" s="39" t="n">
        <f aca="false">'P&amp;L'!J15*0.6*12/365*Assumptions!$B$19</f>
        <v>254802.394109589</v>
      </c>
      <c r="L13" s="39" t="n">
        <f aca="false">'P&amp;L'!K15*0.6*12/365*Assumptions!$B$19</f>
        <v>254802.394109589</v>
      </c>
      <c r="M13" s="39" t="n">
        <f aca="false">'P&amp;L'!L15*0.6*12/365*Assumptions!$B$19</f>
        <v>254802.394109589</v>
      </c>
      <c r="N13" s="39" t="n">
        <f aca="false">'P&amp;L'!M15*0.6*12/365*Assumptions!$B$19</f>
        <v>254802.394109589</v>
      </c>
    </row>
    <row r="14" customFormat="false" ht="15" hidden="false" customHeight="false" outlineLevel="0" collapsed="false">
      <c r="A14" s="42" t="s">
        <v>121</v>
      </c>
      <c r="B14" s="44" t="n">
        <f aca="false">Assumptions!B33</f>
        <v>48000</v>
      </c>
      <c r="C14" s="39" t="n">
        <f aca="false">'P&amp;L'!B15*Assumptions!$B$20</f>
        <v>48163.8103125</v>
      </c>
      <c r="D14" s="39" t="n">
        <f aca="false">'P&amp;L'!C15*Assumptions!$B$20</f>
        <v>50807.7215625</v>
      </c>
      <c r="E14" s="39" t="n">
        <f aca="false">'P&amp;L'!D15*Assumptions!$B$20</f>
        <v>53226.9590625</v>
      </c>
      <c r="F14" s="39" t="n">
        <f aca="false">'P&amp;L'!E15*Assumptions!$B$20</f>
        <v>55870.8703125</v>
      </c>
      <c r="G14" s="39" t="n">
        <f aca="false">'P&amp;L'!F15*Assumptions!$B$20</f>
        <v>58955.8078125</v>
      </c>
      <c r="H14" s="39" t="n">
        <f aca="false">'P&amp;L'!G15*Assumptions!$B$20</f>
        <v>60570.6578125</v>
      </c>
      <c r="I14" s="39" t="n">
        <f aca="false">'P&amp;L'!H15*Assumptions!$B$20</f>
        <v>62989.8953125</v>
      </c>
      <c r="J14" s="39" t="n">
        <f aca="false">'P&amp;L'!I15*Assumptions!$B$20</f>
        <v>62989.8953125</v>
      </c>
      <c r="K14" s="39" t="n">
        <f aca="false">'P&amp;L'!J15*Assumptions!$B$20</f>
        <v>64585.3290625</v>
      </c>
      <c r="L14" s="39" t="n">
        <f aca="false">'P&amp;L'!K15*Assumptions!$B$20</f>
        <v>64585.3290625</v>
      </c>
      <c r="M14" s="39" t="n">
        <f aca="false">'P&amp;L'!L15*Assumptions!$B$20</f>
        <v>64585.3290625</v>
      </c>
      <c r="N14" s="39" t="n">
        <f aca="false">'P&amp;L'!M15*Assumptions!$B$20</f>
        <v>64585.3290625</v>
      </c>
    </row>
    <row r="15" customFormat="false" ht="15" hidden="false" customHeight="false" outlineLevel="0" collapsed="false">
      <c r="A15" s="42" t="s">
        <v>123</v>
      </c>
      <c r="B15" s="44" t="n">
        <f aca="false">Assumptions!B34</f>
        <v>560000</v>
      </c>
      <c r="C15" s="39" t="n">
        <f aca="false">Revenue!B10*Assumptions!$B$15*0.5</f>
        <v>559755</v>
      </c>
      <c r="D15" s="39" t="n">
        <f aca="false">Revenue!C10*Assumptions!$B$15*0.5</f>
        <v>581700.735</v>
      </c>
      <c r="E15" s="39" t="n">
        <f aca="false">Revenue!D10*Assumptions!$B$15*0.5</f>
        <v>606955.632795</v>
      </c>
      <c r="F15" s="39" t="n">
        <f aca="false">Revenue!E10*Assumptions!$B$15*0.5</f>
        <v>633259.765896615</v>
      </c>
      <c r="G15" s="39" t="n">
        <f aca="false">Revenue!F10*Assumptions!$B$15*0.5</f>
        <v>661734.986598925</v>
      </c>
      <c r="H15" s="39" t="n">
        <f aca="false">Revenue!G10*Assumptions!$B$15*0.5</f>
        <v>693499.781639129</v>
      </c>
      <c r="I15" s="39" t="n">
        <f aca="false">Revenue!H10*Assumptions!$B$15*0.5</f>
        <v>726294.282294211</v>
      </c>
      <c r="J15" s="39" t="n">
        <f aca="false">Revenue!I10*Assumptions!$B$15*0.5</f>
        <v>761240.399447329</v>
      </c>
      <c r="K15" s="39" t="n">
        <f aca="false">Revenue!J10*Assumptions!$B$15*0.5</f>
        <v>799456.678248987</v>
      </c>
      <c r="L15" s="39" t="n">
        <f aca="false">Revenue!K10*Assumptions!$B$15*0.5</f>
        <v>839808.30821424</v>
      </c>
      <c r="M15" s="39" t="n">
        <f aca="false">Revenue!L10*Assumptions!$B$15*0.5</f>
        <v>882288.883289597</v>
      </c>
      <c r="N15" s="39" t="n">
        <f aca="false">Revenue!M10*Assumptions!$B$15*0.5</f>
        <v>928017.016639728</v>
      </c>
    </row>
    <row r="16" customFormat="false" ht="15" hidden="false" customHeight="false" outlineLevel="0" collapsed="false">
      <c r="A16" s="5" t="s">
        <v>245</v>
      </c>
      <c r="B16" s="40" t="n">
        <f aca="false">SUM(B13:B15)</f>
        <v>798000</v>
      </c>
      <c r="C16" s="40" t="n">
        <f aca="false">SUM(C13:C15)</f>
        <v>797934.938668664</v>
      </c>
      <c r="D16" s="40" t="n">
        <f aca="false">SUM(D13:D15)</f>
        <v>832955.358069349</v>
      </c>
      <c r="E16" s="40" t="n">
        <f aca="false">SUM(E13:E15)</f>
        <v>870173.882405445</v>
      </c>
      <c r="F16" s="40" t="n">
        <f aca="false">SUM(F13:F15)</f>
        <v>909552.699907745</v>
      </c>
      <c r="G16" s="40" t="n">
        <f aca="false">SUM(G13:G15)</f>
        <v>953283.570438823</v>
      </c>
      <c r="H16" s="40" t="n">
        <f aca="false">SUM(H13:H15)</f>
        <v>993034.130547519</v>
      </c>
      <c r="I16" s="40" t="n">
        <f aca="false">SUM(I13:I15)</f>
        <v>1037792.2577437</v>
      </c>
      <c r="J16" s="40" t="n">
        <f aca="false">SUM(J13:J15)</f>
        <v>1072738.37489681</v>
      </c>
      <c r="K16" s="40" t="n">
        <f aca="false">SUM(K13:K15)</f>
        <v>1118844.40142108</v>
      </c>
      <c r="L16" s="40" t="n">
        <f aca="false">SUM(L13:L15)</f>
        <v>1159196.03138633</v>
      </c>
      <c r="M16" s="40" t="n">
        <f aca="false">SUM(M13:M15)</f>
        <v>1201676.60646169</v>
      </c>
      <c r="N16" s="40" t="n">
        <f aca="false">SUM(N13:N15)</f>
        <v>1247404.73981182</v>
      </c>
    </row>
    <row r="18" customFormat="false" ht="15" hidden="false" customHeight="false" outlineLevel="0" collapsed="false">
      <c r="A18" s="3" t="s">
        <v>246</v>
      </c>
      <c r="B18" s="4"/>
      <c r="C18" s="4"/>
      <c r="D18" s="4"/>
      <c r="E18" s="4"/>
      <c r="F18" s="4"/>
      <c r="G18" s="4"/>
      <c r="H18" s="4"/>
      <c r="I18" s="4"/>
      <c r="J18" s="4"/>
      <c r="K18" s="4"/>
      <c r="L18" s="4"/>
      <c r="M18" s="4"/>
      <c r="N18" s="4"/>
      <c r="O18" s="4"/>
    </row>
    <row r="19" customFormat="false" ht="15" hidden="false" customHeight="false" outlineLevel="0" collapsed="false">
      <c r="A19" s="42" t="s">
        <v>125</v>
      </c>
      <c r="B19" s="44" t="n">
        <f aca="false">Assumptions!B35</f>
        <v>12000000</v>
      </c>
      <c r="C19" s="39" t="n">
        <f aca="false">B19+'P&amp;L'!B20+'Cash Flow'!C21</f>
        <v>12042000</v>
      </c>
      <c r="D19" s="39" t="n">
        <f aca="false">C19+'P&amp;L'!C20+'Cash Flow'!D21</f>
        <v>12084000</v>
      </c>
      <c r="E19" s="39" t="n">
        <f aca="false">D19+'P&amp;L'!D20+'Cash Flow'!E21</f>
        <v>12126000</v>
      </c>
      <c r="F19" s="39" t="n">
        <f aca="false">E19+'P&amp;L'!E20+'Cash Flow'!F21</f>
        <v>12168000</v>
      </c>
      <c r="G19" s="39" t="n">
        <f aca="false">F19+'P&amp;L'!F20+'Cash Flow'!G21</f>
        <v>12210000</v>
      </c>
      <c r="H19" s="39" t="n">
        <f aca="false">G19+'P&amp;L'!G20+'Cash Flow'!H21</f>
        <v>12252000</v>
      </c>
      <c r="I19" s="39" t="n">
        <f aca="false">H19+'P&amp;L'!H20+'Cash Flow'!I21</f>
        <v>12294000</v>
      </c>
      <c r="J19" s="39" t="n">
        <f aca="false">I19+'P&amp;L'!I20+'Cash Flow'!J21</f>
        <v>12336000</v>
      </c>
      <c r="K19" s="39" t="n">
        <f aca="false">J19+'P&amp;L'!J20+'Cash Flow'!K21</f>
        <v>12378000</v>
      </c>
      <c r="L19" s="39" t="n">
        <f aca="false">K19+'P&amp;L'!K20+'Cash Flow'!L21</f>
        <v>12420000</v>
      </c>
      <c r="M19" s="39" t="n">
        <f aca="false">L19+'P&amp;L'!L20+'Cash Flow'!M21</f>
        <v>12462000</v>
      </c>
      <c r="N19" s="39" t="n">
        <f aca="false">M19+'P&amp;L'!M20+'Cash Flow'!N21</f>
        <v>12504000</v>
      </c>
    </row>
    <row r="20" customFormat="false" ht="15" hidden="false" customHeight="false" outlineLevel="0" collapsed="false">
      <c r="A20" s="42" t="s">
        <v>127</v>
      </c>
      <c r="B20" s="44" t="n">
        <f aca="false">Assumptions!B36</f>
        <v>-9324000</v>
      </c>
      <c r="C20" s="39" t="n">
        <f aca="false">B20+'P&amp;L'!B24</f>
        <v>-9498680.21458333</v>
      </c>
      <c r="D20" s="39" t="n">
        <f aca="false">C20+'P&amp;L'!C24</f>
        <v>-9684561.5406824</v>
      </c>
      <c r="E20" s="39" t="n">
        <f aca="false">D20+'P&amp;L'!D24</f>
        <v>-9879186.57471609</v>
      </c>
      <c r="F20" s="39" t="n">
        <f aca="false">E20+'P&amp;L'!E24</f>
        <v>-10083343.8905452</v>
      </c>
      <c r="G20" s="39" t="n">
        <f aca="false">F20+'P&amp;L'!F24</f>
        <v>-10299457.6406487</v>
      </c>
      <c r="H20" s="39" t="n">
        <f aca="false">G20+'P&amp;L'!G24</f>
        <v>-10516835.9759967</v>
      </c>
      <c r="I20" s="39" t="n">
        <f aca="false">H20+'P&amp;L'!H24</f>
        <v>-10740132.8498193</v>
      </c>
      <c r="J20" s="39" t="n">
        <f aca="false">I20+'P&amp;L'!I24</f>
        <v>-10964034.854772</v>
      </c>
      <c r="K20" s="39" t="n">
        <f aca="false">J20+'P&amp;L'!J24</f>
        <v>-11186954.2818007</v>
      </c>
      <c r="L20" s="39" t="n">
        <f aca="false">K20+'P&amp;L'!K24</f>
        <v>-11397314.6099495</v>
      </c>
      <c r="M20" s="39" t="n">
        <f aca="false">L20+'P&amp;L'!L24</f>
        <v>-11594378.3954918</v>
      </c>
      <c r="N20" s="39" t="n">
        <f aca="false">M20+'P&amp;L'!M24</f>
        <v>-11777196.2926224</v>
      </c>
    </row>
    <row r="21" customFormat="false" ht="15" hidden="false" customHeight="false" outlineLevel="0" collapsed="false">
      <c r="A21" s="5" t="s">
        <v>247</v>
      </c>
      <c r="B21" s="40" t="n">
        <f aca="false">SUM(B19:B20)</f>
        <v>2676000</v>
      </c>
      <c r="C21" s="40" t="n">
        <f aca="false">SUM(C19:C20)</f>
        <v>2543319.78541667</v>
      </c>
      <c r="D21" s="40" t="n">
        <f aca="false">SUM(D19:D20)</f>
        <v>2399438.4593176</v>
      </c>
      <c r="E21" s="40" t="n">
        <f aca="false">SUM(E19:E20)</f>
        <v>2246813.42528391</v>
      </c>
      <c r="F21" s="40" t="n">
        <f aca="false">SUM(F19:F20)</f>
        <v>2084656.10945483</v>
      </c>
      <c r="G21" s="40" t="n">
        <f aca="false">SUM(G19:G20)</f>
        <v>1910542.35935128</v>
      </c>
      <c r="H21" s="40" t="n">
        <f aca="false">SUM(H19:H20)</f>
        <v>1735164.02400327</v>
      </c>
      <c r="I21" s="40" t="n">
        <f aca="false">SUM(I19:I20)</f>
        <v>1553867.15018067</v>
      </c>
      <c r="J21" s="40" t="n">
        <f aca="false">SUM(J19:J20)</f>
        <v>1371965.14522797</v>
      </c>
      <c r="K21" s="40" t="n">
        <f aca="false">SUM(K19:K20)</f>
        <v>1191045.71819935</v>
      </c>
      <c r="L21" s="40" t="n">
        <f aca="false">SUM(L19:L20)</f>
        <v>1022685.39005049</v>
      </c>
      <c r="M21" s="40" t="n">
        <f aca="false">SUM(M19:M20)</f>
        <v>867621.604508154</v>
      </c>
      <c r="N21" s="40" t="n">
        <f aca="false">SUM(N19:N20)</f>
        <v>726803.707377641</v>
      </c>
    </row>
    <row r="22" customFormat="false" ht="15" hidden="false" customHeight="false" outlineLevel="0" collapsed="false">
      <c r="A22" s="5" t="s">
        <v>248</v>
      </c>
      <c r="B22" s="33" t="n">
        <f aca="false">B16+B21</f>
        <v>3474000</v>
      </c>
      <c r="C22" s="33" t="n">
        <f aca="false">C16+C21</f>
        <v>3341254.72408533</v>
      </c>
      <c r="D22" s="33" t="n">
        <f aca="false">D16+D21</f>
        <v>3232393.81738695</v>
      </c>
      <c r="E22" s="33" t="n">
        <f aca="false">E16+E21</f>
        <v>3116987.30768936</v>
      </c>
      <c r="F22" s="33" t="n">
        <f aca="false">F16+F21</f>
        <v>2994208.80936258</v>
      </c>
      <c r="G22" s="33" t="n">
        <f aca="false">G16+G21</f>
        <v>2863825.9297901</v>
      </c>
      <c r="H22" s="33" t="n">
        <f aca="false">H16+H21</f>
        <v>2728198.15455079</v>
      </c>
      <c r="I22" s="33" t="n">
        <f aca="false">I16+I21</f>
        <v>2591659.40792436</v>
      </c>
      <c r="J22" s="33" t="n">
        <f aca="false">J16+J21</f>
        <v>2444703.52012478</v>
      </c>
      <c r="K22" s="33" t="n">
        <f aca="false">K16+K21</f>
        <v>2309890.11962043</v>
      </c>
      <c r="L22" s="33" t="n">
        <f aca="false">L16+L21</f>
        <v>2181881.42143682</v>
      </c>
      <c r="M22" s="33" t="n">
        <f aca="false">M16+M21</f>
        <v>2069298.21096984</v>
      </c>
      <c r="N22" s="33" t="n">
        <f aca="false">N16+N21</f>
        <v>1974208.44718946</v>
      </c>
    </row>
    <row r="24" customFormat="false" ht="15" hidden="false" customHeight="false" outlineLevel="0" collapsed="false">
      <c r="A24" s="5" t="s">
        <v>249</v>
      </c>
      <c r="B24" s="33" t="n">
        <f aca="false">B10-B22</f>
        <v>0</v>
      </c>
      <c r="C24" s="33" t="n">
        <f aca="false">C10-C22</f>
        <v>0</v>
      </c>
      <c r="D24" s="33" t="n">
        <f aca="false">D10-D22</f>
        <v>0</v>
      </c>
      <c r="E24" s="33" t="n">
        <f aca="false">E10-E22</f>
        <v>0</v>
      </c>
      <c r="F24" s="33" t="n">
        <f aca="false">F10-F22</f>
        <v>0</v>
      </c>
      <c r="G24" s="33" t="n">
        <f aca="false">G10-G22</f>
        <v>0</v>
      </c>
      <c r="H24" s="33" t="n">
        <f aca="false">H10-H22</f>
        <v>0</v>
      </c>
      <c r="I24" s="33" t="n">
        <f aca="false">I10-I22</f>
        <v>0</v>
      </c>
      <c r="J24" s="33" t="n">
        <f aca="false">J10-J22</f>
        <v>0</v>
      </c>
      <c r="K24" s="33" t="n">
        <f aca="false">K10-K22</f>
        <v>0</v>
      </c>
      <c r="L24" s="33" t="n">
        <f aca="false">L10-L22</f>
        <v>0</v>
      </c>
      <c r="M24" s="33" t="n">
        <f aca="false">M10-M22</f>
        <v>0</v>
      </c>
      <c r="N24" s="33" t="n">
        <f aca="false">N10-N22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4"/>
    <col collapsed="false" customWidth="true" hidden="false" outlineLevel="0" max="14" min="3" style="0" width="13"/>
  </cols>
  <sheetData>
    <row r="1" customFormat="false" ht="17.35" hidden="false" customHeight="false" outlineLevel="0" collapsed="false">
      <c r="A1" s="14" t="s">
        <v>250</v>
      </c>
    </row>
    <row r="2" customFormat="false" ht="15" hidden="false" customHeight="false" outlineLevel="0" collapsed="false">
      <c r="A2" s="21" t="s">
        <v>251</v>
      </c>
    </row>
    <row r="4" customFormat="false" ht="15" hidden="false" customHeight="false" outlineLevel="0" collapsed="false">
      <c r="B4" s="35" t="s">
        <v>240</v>
      </c>
      <c r="C4" s="35" t="s">
        <v>142</v>
      </c>
      <c r="D4" s="35" t="s">
        <v>143</v>
      </c>
      <c r="E4" s="35" t="s">
        <v>144</v>
      </c>
      <c r="F4" s="35" t="s">
        <v>145</v>
      </c>
      <c r="G4" s="35" t="s">
        <v>146</v>
      </c>
      <c r="H4" s="35" t="s">
        <v>147</v>
      </c>
      <c r="I4" s="35" t="s">
        <v>148</v>
      </c>
      <c r="J4" s="35" t="s">
        <v>149</v>
      </c>
      <c r="K4" s="35" t="s">
        <v>150</v>
      </c>
      <c r="L4" s="35" t="s">
        <v>151</v>
      </c>
      <c r="M4" s="35" t="s">
        <v>152</v>
      </c>
      <c r="N4" s="35" t="s">
        <v>153</v>
      </c>
    </row>
    <row r="5" customFormat="false" ht="15" hidden="false" customHeight="false" outlineLevel="0" collapsed="false">
      <c r="A5" s="3" t="s">
        <v>252</v>
      </c>
      <c r="B5" s="4"/>
      <c r="C5" s="4"/>
      <c r="D5" s="4"/>
      <c r="E5" s="4"/>
      <c r="F5" s="4"/>
      <c r="G5" s="4"/>
      <c r="H5" s="4"/>
      <c r="I5" s="4"/>
      <c r="J5" s="4"/>
      <c r="K5" s="4"/>
      <c r="L5" s="4"/>
      <c r="M5" s="4"/>
      <c r="N5" s="4"/>
      <c r="O5" s="4"/>
    </row>
    <row r="6" customFormat="false" ht="15" hidden="false" customHeight="false" outlineLevel="0" collapsed="false">
      <c r="A6" s="42" t="s">
        <v>235</v>
      </c>
      <c r="C6" s="44" t="n">
        <f aca="false">'P&amp;L'!B24</f>
        <v>-174680.214583333</v>
      </c>
      <c r="D6" s="44" t="n">
        <f aca="false">'P&amp;L'!C24</f>
        <v>-185881.326099069</v>
      </c>
      <c r="E6" s="44" t="n">
        <f aca="false">'P&amp;L'!D24</f>
        <v>-194625.034033685</v>
      </c>
      <c r="F6" s="44" t="n">
        <f aca="false">'P&amp;L'!E24</f>
        <v>-204157.315829079</v>
      </c>
      <c r="G6" s="44" t="n">
        <f aca="false">'P&amp;L'!F24</f>
        <v>-216113.750103558</v>
      </c>
      <c r="H6" s="44" t="n">
        <f aca="false">'P&amp;L'!G24</f>
        <v>-217378.335348002</v>
      </c>
      <c r="I6" s="44" t="n">
        <f aca="false">'P&amp;L'!H24</f>
        <v>-223296.87382261</v>
      </c>
      <c r="J6" s="44" t="n">
        <f aca="false">'P&amp;L'!I24</f>
        <v>-223902.0049527</v>
      </c>
      <c r="K6" s="44" t="n">
        <f aca="false">'P&amp;L'!J24</f>
        <v>-222919.427028615</v>
      </c>
      <c r="L6" s="44" t="n">
        <f aca="false">'P&amp;L'!K24</f>
        <v>-210360.328148858</v>
      </c>
      <c r="M6" s="44" t="n">
        <f aca="false">'P&amp;L'!L24</f>
        <v>-197063.785542337</v>
      </c>
      <c r="N6" s="44" t="n">
        <f aca="false">'P&amp;L'!M24</f>
        <v>-182817.897130513</v>
      </c>
    </row>
    <row r="7" customFormat="false" ht="15" hidden="false" customHeight="false" outlineLevel="0" collapsed="false">
      <c r="A7" s="42" t="s">
        <v>232</v>
      </c>
      <c r="C7" s="44" t="n">
        <f aca="false">'P&amp;L'!B21</f>
        <v>3360</v>
      </c>
      <c r="D7" s="44" t="n">
        <f aca="false">'P&amp;L'!C21</f>
        <v>3489.92</v>
      </c>
      <c r="E7" s="44" t="n">
        <f aca="false">'P&amp;L'!D21</f>
        <v>3616.20224</v>
      </c>
      <c r="F7" s="44" t="n">
        <f aca="false">'P&amp;L'!E21</f>
        <v>3738.94857728</v>
      </c>
      <c r="G7" s="44" t="n">
        <f aca="false">'P&amp;L'!F21</f>
        <v>3858.25801711616</v>
      </c>
      <c r="H7" s="44" t="n">
        <f aca="false">'P&amp;L'!G21</f>
        <v>3974.22679263691</v>
      </c>
      <c r="I7" s="44" t="n">
        <f aca="false">'P&amp;L'!H21</f>
        <v>4086.94844244307</v>
      </c>
      <c r="J7" s="44" t="n">
        <f aca="false">'P&amp;L'!I21</f>
        <v>4196.51388605467</v>
      </c>
      <c r="K7" s="44" t="n">
        <f aca="false">'P&amp;L'!J21</f>
        <v>4303.01149724514</v>
      </c>
      <c r="L7" s="44" t="n">
        <f aca="false">'P&amp;L'!K21</f>
        <v>4406.52717532227</v>
      </c>
      <c r="M7" s="44" t="n">
        <f aca="false">'P&amp;L'!L21</f>
        <v>4507.14441441325</v>
      </c>
      <c r="N7" s="44" t="n">
        <f aca="false">'P&amp;L'!M21</f>
        <v>4604.94437080968</v>
      </c>
    </row>
    <row r="8" customFormat="false" ht="15" hidden="false" customHeight="false" outlineLevel="0" collapsed="false">
      <c r="A8" s="42" t="s">
        <v>231</v>
      </c>
      <c r="C8" s="44" t="n">
        <f aca="false">'P&amp;L'!B20</f>
        <v>42000</v>
      </c>
      <c r="D8" s="44" t="n">
        <f aca="false">'P&amp;L'!C20</f>
        <v>42000</v>
      </c>
      <c r="E8" s="44" t="n">
        <f aca="false">'P&amp;L'!D20</f>
        <v>42000</v>
      </c>
      <c r="F8" s="44" t="n">
        <f aca="false">'P&amp;L'!E20</f>
        <v>42000</v>
      </c>
      <c r="G8" s="44" t="n">
        <f aca="false">'P&amp;L'!F20</f>
        <v>42000</v>
      </c>
      <c r="H8" s="44" t="n">
        <f aca="false">'P&amp;L'!G20</f>
        <v>42000</v>
      </c>
      <c r="I8" s="44" t="n">
        <f aca="false">'P&amp;L'!H20</f>
        <v>42000</v>
      </c>
      <c r="J8" s="44" t="n">
        <f aca="false">'P&amp;L'!I20</f>
        <v>42000</v>
      </c>
      <c r="K8" s="44" t="n">
        <f aca="false">'P&amp;L'!J20</f>
        <v>42000</v>
      </c>
      <c r="L8" s="44" t="n">
        <f aca="false">'P&amp;L'!K20</f>
        <v>42000</v>
      </c>
      <c r="M8" s="44" t="n">
        <f aca="false">'P&amp;L'!L20</f>
        <v>42000</v>
      </c>
      <c r="N8" s="44" t="n">
        <f aca="false">'P&amp;L'!M20</f>
        <v>42000</v>
      </c>
    </row>
    <row r="9" customFormat="false" ht="15" hidden="false" customHeight="false" outlineLevel="0" collapsed="false">
      <c r="A9" s="42" t="s">
        <v>253</v>
      </c>
      <c r="C9" s="39" t="n">
        <f aca="false">-('Balance Sheet'!C7-'Balance Sheet'!B7)</f>
        <v>67.1232876712456</v>
      </c>
      <c r="D9" s="39" t="n">
        <f aca="false">-('Balance Sheet'!D7-'Balance Sheet'!C7)</f>
        <v>-11424.8589041096</v>
      </c>
      <c r="E9" s="39" t="n">
        <f aca="false">-('Balance Sheet'!E7-'Balance Sheet'!D7)</f>
        <v>-12931.6802178083</v>
      </c>
      <c r="F9" s="39" t="n">
        <f aca="false">-('Balance Sheet'!F7-'Balance Sheet'!E7)</f>
        <v>-14125.7618894835</v>
      </c>
      <c r="G9" s="39" t="n">
        <f aca="false">-('Balance Sheet'!G7-'Balance Sheet'!F7)</f>
        <v>-15008.0421380618</v>
      </c>
      <c r="H9" s="39" t="n">
        <f aca="false">-('Balance Sheet'!H7-'Balance Sheet'!G7)</f>
        <v>-16504.1139020586</v>
      </c>
      <c r="I9" s="39" t="n">
        <f aca="false">-('Balance Sheet'!I7-'Balance Sheet'!H7)</f>
        <v>-17687.478272681</v>
      </c>
      <c r="J9" s="39" t="n">
        <f aca="false">-('Balance Sheet'!J7-'Balance Sheet'!I7)</f>
        <v>-18559.0733721096</v>
      </c>
      <c r="K9" s="39" t="n">
        <f aca="false">-('Balance Sheet'!K7-'Balance Sheet'!J7)</f>
        <v>-20044.4920424042</v>
      </c>
      <c r="L9" s="39" t="n">
        <f aca="false">-('Balance Sheet'!L7-'Balance Sheet'!K7)</f>
        <v>-21525.454456688</v>
      </c>
      <c r="M9" s="39" t="n">
        <f aca="false">-('Balance Sheet'!M7-'Balance Sheet'!L7)</f>
        <v>-22693.7548056468</v>
      </c>
      <c r="N9" s="39" t="n">
        <f aca="false">-('Balance Sheet'!N7-'Balance Sheet'!M7)</f>
        <v>-24166.7694316407</v>
      </c>
    </row>
    <row r="10" customFormat="false" ht="15" hidden="false" customHeight="false" outlineLevel="0" collapsed="false">
      <c r="A10" s="42" t="s">
        <v>254</v>
      </c>
      <c r="C10" s="39" t="n">
        <f aca="false">-('Balance Sheet'!C8-'Balance Sheet'!B8)</f>
        <v>312.6345</v>
      </c>
      <c r="D10" s="39" t="n">
        <f aca="false">-('Balance Sheet'!D8-'Balance Sheet'!C8)</f>
        <v>-1410.086</v>
      </c>
      <c r="E10" s="39" t="n">
        <f aca="false">-('Balance Sheet'!E8-'Balance Sheet'!D8)</f>
        <v>-1290.26</v>
      </c>
      <c r="F10" s="39" t="n">
        <f aca="false">-('Balance Sheet'!F8-'Balance Sheet'!E8)</f>
        <v>-1410.086</v>
      </c>
      <c r="G10" s="39" t="n">
        <f aca="false">-('Balance Sheet'!G8-'Balance Sheet'!F8)</f>
        <v>-1645.3</v>
      </c>
      <c r="H10" s="39" t="n">
        <f aca="false">-('Balance Sheet'!H8-'Balance Sheet'!G8)</f>
        <v>-861.253333333334</v>
      </c>
      <c r="I10" s="39" t="n">
        <f aca="false">-('Balance Sheet'!I8-'Balance Sheet'!H8)</f>
        <v>-1290.26</v>
      </c>
      <c r="J10" s="39" t="n">
        <f aca="false">-('Balance Sheet'!J8-'Balance Sheet'!I8)</f>
        <v>-0</v>
      </c>
      <c r="K10" s="39" t="n">
        <f aca="false">-('Balance Sheet'!K8-'Balance Sheet'!J8)</f>
        <v>-850.898000000001</v>
      </c>
      <c r="L10" s="39" t="n">
        <f aca="false">-('Balance Sheet'!L8-'Balance Sheet'!K8)</f>
        <v>-0</v>
      </c>
      <c r="M10" s="39" t="n">
        <f aca="false">-('Balance Sheet'!M8-'Balance Sheet'!L8)</f>
        <v>-0</v>
      </c>
      <c r="N10" s="39" t="n">
        <f aca="false">-('Balance Sheet'!N8-'Balance Sheet'!M8)</f>
        <v>-0</v>
      </c>
    </row>
    <row r="11" customFormat="false" ht="15" hidden="false" customHeight="false" outlineLevel="0" collapsed="false">
      <c r="A11" s="42" t="s">
        <v>255</v>
      </c>
      <c r="C11" s="39" t="n">
        <f aca="false">'Balance Sheet'!C13-'Balance Sheet'!B13</f>
        <v>16.1283561643795</v>
      </c>
      <c r="D11" s="39" t="n">
        <f aca="false">'Balance Sheet'!D13-'Balance Sheet'!C13</f>
        <v>10430.773150685</v>
      </c>
      <c r="E11" s="39" t="n">
        <f aca="false">'Balance Sheet'!E13-'Balance Sheet'!D13</f>
        <v>9544.38904109589</v>
      </c>
      <c r="F11" s="39" t="n">
        <f aca="false">'Balance Sheet'!F13-'Balance Sheet'!E13</f>
        <v>10430.7731506849</v>
      </c>
      <c r="G11" s="39" t="n">
        <f aca="false">'Balance Sheet'!G13-'Balance Sheet'!F13</f>
        <v>12170.7123287671</v>
      </c>
      <c r="H11" s="39" t="n">
        <f aca="false">'Balance Sheet'!H13-'Balance Sheet'!G13</f>
        <v>6370.9150684932</v>
      </c>
      <c r="I11" s="39" t="n">
        <f aca="false">'Balance Sheet'!I13-'Balance Sheet'!H13</f>
        <v>9544.3890410958</v>
      </c>
      <c r="J11" s="39" t="n">
        <f aca="false">'Balance Sheet'!J13-'Balance Sheet'!I13</f>
        <v>0</v>
      </c>
      <c r="K11" s="39" t="n">
        <f aca="false">'Balance Sheet'!K13-'Balance Sheet'!J13</f>
        <v>6294.31397260277</v>
      </c>
      <c r="L11" s="39" t="n">
        <f aca="false">'Balance Sheet'!L13-'Balance Sheet'!K13</f>
        <v>0</v>
      </c>
      <c r="M11" s="39" t="n">
        <f aca="false">'Balance Sheet'!M13-'Balance Sheet'!L13</f>
        <v>0</v>
      </c>
      <c r="N11" s="39" t="n">
        <f aca="false">'Balance Sheet'!N13-'Balance Sheet'!M13</f>
        <v>0</v>
      </c>
    </row>
    <row r="12" customFormat="false" ht="15" hidden="false" customHeight="false" outlineLevel="0" collapsed="false">
      <c r="A12" s="42" t="s">
        <v>256</v>
      </c>
      <c r="C12" s="39" t="n">
        <f aca="false">'Balance Sheet'!C14-'Balance Sheet'!B14</f>
        <v>163.810312499998</v>
      </c>
      <c r="D12" s="39" t="n">
        <f aca="false">'Balance Sheet'!D14-'Balance Sheet'!C14</f>
        <v>2643.91125</v>
      </c>
      <c r="E12" s="39" t="n">
        <f aca="false">'Balance Sheet'!E14-'Balance Sheet'!D14</f>
        <v>2419.2375</v>
      </c>
      <c r="F12" s="39" t="n">
        <f aca="false">'Balance Sheet'!F14-'Balance Sheet'!E14</f>
        <v>2643.91124999999</v>
      </c>
      <c r="G12" s="39" t="n">
        <f aca="false">'Balance Sheet'!G14-'Balance Sheet'!F14</f>
        <v>3084.9375</v>
      </c>
      <c r="H12" s="39" t="n">
        <f aca="false">'Balance Sheet'!H14-'Balance Sheet'!G14</f>
        <v>1614.85000000001</v>
      </c>
      <c r="I12" s="39" t="n">
        <f aca="false">'Balance Sheet'!I14-'Balance Sheet'!H14</f>
        <v>2419.2375</v>
      </c>
      <c r="J12" s="39" t="n">
        <f aca="false">'Balance Sheet'!J14-'Balance Sheet'!I14</f>
        <v>0</v>
      </c>
      <c r="K12" s="39" t="n">
        <f aca="false">'Balance Sheet'!K14-'Balance Sheet'!J14</f>
        <v>1595.43375</v>
      </c>
      <c r="L12" s="39" t="n">
        <f aca="false">'Balance Sheet'!L14-'Balance Sheet'!K14</f>
        <v>0</v>
      </c>
      <c r="M12" s="39" t="n">
        <f aca="false">'Balance Sheet'!M14-'Balance Sheet'!L14</f>
        <v>0</v>
      </c>
      <c r="N12" s="39" t="n">
        <f aca="false">'Balance Sheet'!N14-'Balance Sheet'!M14</f>
        <v>0</v>
      </c>
    </row>
    <row r="13" customFormat="false" ht="15" hidden="false" customHeight="false" outlineLevel="0" collapsed="false">
      <c r="A13" s="42" t="s">
        <v>257</v>
      </c>
      <c r="C13" s="39" t="n">
        <f aca="false">'Balance Sheet'!C15-'Balance Sheet'!B15</f>
        <v>-245</v>
      </c>
      <c r="D13" s="39" t="n">
        <f aca="false">'Balance Sheet'!D15-'Balance Sheet'!C15</f>
        <v>21945.735</v>
      </c>
      <c r="E13" s="39" t="n">
        <f aca="false">'Balance Sheet'!E15-'Balance Sheet'!D15</f>
        <v>25254.897795</v>
      </c>
      <c r="F13" s="39" t="n">
        <f aca="false">'Balance Sheet'!F15-'Balance Sheet'!E15</f>
        <v>26304.133101615</v>
      </c>
      <c r="G13" s="39" t="n">
        <f aca="false">'Balance Sheet'!G15-'Balance Sheet'!F15</f>
        <v>28475.2207023102</v>
      </c>
      <c r="H13" s="39" t="n">
        <f aca="false">'Balance Sheet'!H15-'Balance Sheet'!G15</f>
        <v>31764.7950402033</v>
      </c>
      <c r="I13" s="39" t="n">
        <f aca="false">'Balance Sheet'!I15-'Balance Sheet'!H15</f>
        <v>32794.5006550828</v>
      </c>
      <c r="J13" s="39" t="n">
        <f aca="false">'Balance Sheet'!J15-'Balance Sheet'!I15</f>
        <v>34946.1171531173</v>
      </c>
      <c r="K13" s="39" t="n">
        <f aca="false">'Balance Sheet'!K15-'Balance Sheet'!J15</f>
        <v>38216.278801658</v>
      </c>
      <c r="L13" s="39" t="n">
        <f aca="false">'Balance Sheet'!L15-'Balance Sheet'!K15</f>
        <v>40351.6299652531</v>
      </c>
      <c r="M13" s="39" t="n">
        <f aca="false">'Balance Sheet'!M15-'Balance Sheet'!L15</f>
        <v>42480.5750753573</v>
      </c>
      <c r="N13" s="39" t="n">
        <f aca="false">'Balance Sheet'!N15-'Balance Sheet'!M15</f>
        <v>45728.1333501312</v>
      </c>
    </row>
    <row r="14" customFormat="false" ht="15" hidden="false" customHeight="false" outlineLevel="0" collapsed="false">
      <c r="A14" s="5" t="s">
        <v>258</v>
      </c>
      <c r="C14" s="40" t="n">
        <f aca="false">SUM(C6:C13)</f>
        <v>-129005.518126998</v>
      </c>
      <c r="D14" s="40" t="n">
        <f aca="false">SUM(D6:D13)</f>
        <v>-118205.931602494</v>
      </c>
      <c r="E14" s="40" t="n">
        <f aca="false">SUM(E6:E13)</f>
        <v>-126012.247675398</v>
      </c>
      <c r="F14" s="40" t="n">
        <f aca="false">SUM(F6:F13)</f>
        <v>-134575.397638982</v>
      </c>
      <c r="G14" s="40" t="n">
        <f aca="false">SUM(G6:G13)</f>
        <v>-143177.963693426</v>
      </c>
      <c r="H14" s="40" t="n">
        <f aca="false">SUM(H6:H13)</f>
        <v>-149018.91568206</v>
      </c>
      <c r="I14" s="40" t="n">
        <f aca="false">SUM(I6:I13)</f>
        <v>-151429.536456669</v>
      </c>
      <c r="J14" s="40" t="n">
        <f aca="false">SUM(J6:J13)</f>
        <v>-161318.447285638</v>
      </c>
      <c r="K14" s="40" t="n">
        <f aca="false">SUM(K6:K13)</f>
        <v>-151405.779049514</v>
      </c>
      <c r="L14" s="40" t="n">
        <f aca="false">SUM(L6:L13)</f>
        <v>-145127.62546497</v>
      </c>
      <c r="M14" s="40" t="n">
        <f aca="false">SUM(M6:M13)</f>
        <v>-130769.820858214</v>
      </c>
      <c r="N14" s="40" t="n">
        <f aca="false">SUM(N6:N13)</f>
        <v>-114651.588841213</v>
      </c>
    </row>
    <row r="16" customFormat="false" ht="15" hidden="false" customHeight="false" outlineLevel="0" collapsed="false">
      <c r="A16" s="3" t="s">
        <v>259</v>
      </c>
      <c r="B16" s="4"/>
      <c r="C16" s="4"/>
      <c r="D16" s="4"/>
      <c r="E16" s="4"/>
      <c r="F16" s="4"/>
      <c r="G16" s="4"/>
      <c r="H16" s="4"/>
      <c r="I16" s="4"/>
      <c r="J16" s="4"/>
      <c r="K16" s="4"/>
      <c r="L16" s="4"/>
      <c r="M16" s="4"/>
      <c r="N16" s="4"/>
      <c r="O16" s="4"/>
    </row>
    <row r="17" customFormat="false" ht="15" hidden="false" customHeight="false" outlineLevel="0" collapsed="false">
      <c r="A17" s="42" t="s">
        <v>260</v>
      </c>
      <c r="C17" s="44" t="n">
        <f aca="false">-Assumptions!$B$24</f>
        <v>-8000</v>
      </c>
      <c r="D17" s="44" t="n">
        <f aca="false">-Assumptions!$B$24</f>
        <v>-8000</v>
      </c>
      <c r="E17" s="44" t="n">
        <f aca="false">-Assumptions!$B$24</f>
        <v>-8000</v>
      </c>
      <c r="F17" s="44" t="n">
        <f aca="false">-Assumptions!$B$24</f>
        <v>-8000</v>
      </c>
      <c r="G17" s="44" t="n">
        <f aca="false">-Assumptions!$B$24</f>
        <v>-8000</v>
      </c>
      <c r="H17" s="44" t="n">
        <f aca="false">-Assumptions!$B$24</f>
        <v>-8000</v>
      </c>
      <c r="I17" s="44" t="n">
        <f aca="false">-Assumptions!$B$24</f>
        <v>-8000</v>
      </c>
      <c r="J17" s="44" t="n">
        <f aca="false">-Assumptions!$B$24</f>
        <v>-8000</v>
      </c>
      <c r="K17" s="44" t="n">
        <f aca="false">-Assumptions!$B$24</f>
        <v>-8000</v>
      </c>
      <c r="L17" s="44" t="n">
        <f aca="false">-Assumptions!$B$24</f>
        <v>-8000</v>
      </c>
      <c r="M17" s="44" t="n">
        <f aca="false">-Assumptions!$B$24</f>
        <v>-8000</v>
      </c>
      <c r="N17" s="44" t="n">
        <f aca="false">-Assumptions!$B$24</f>
        <v>-8000</v>
      </c>
    </row>
    <row r="18" customFormat="false" ht="15" hidden="false" customHeight="false" outlineLevel="0" collapsed="false">
      <c r="A18" s="5" t="s">
        <v>261</v>
      </c>
      <c r="C18" s="40" t="n">
        <f aca="false">C17</f>
        <v>-8000</v>
      </c>
      <c r="D18" s="40" t="n">
        <f aca="false">D17</f>
        <v>-8000</v>
      </c>
      <c r="E18" s="40" t="n">
        <f aca="false">E17</f>
        <v>-8000</v>
      </c>
      <c r="F18" s="40" t="n">
        <f aca="false">F17</f>
        <v>-8000</v>
      </c>
      <c r="G18" s="40" t="n">
        <f aca="false">G17</f>
        <v>-8000</v>
      </c>
      <c r="H18" s="40" t="n">
        <f aca="false">H17</f>
        <v>-8000</v>
      </c>
      <c r="I18" s="40" t="n">
        <f aca="false">I17</f>
        <v>-8000</v>
      </c>
      <c r="J18" s="40" t="n">
        <f aca="false">J17</f>
        <v>-8000</v>
      </c>
      <c r="K18" s="40" t="n">
        <f aca="false">K17</f>
        <v>-8000</v>
      </c>
      <c r="L18" s="40" t="n">
        <f aca="false">L17</f>
        <v>-8000</v>
      </c>
      <c r="M18" s="40" t="n">
        <f aca="false">M17</f>
        <v>-8000</v>
      </c>
      <c r="N18" s="40" t="n">
        <f aca="false">N17</f>
        <v>-8000</v>
      </c>
    </row>
    <row r="20" customFormat="false" ht="15" hidden="false" customHeight="false" outlineLevel="0" collapsed="false">
      <c r="A20" s="3" t="s">
        <v>262</v>
      </c>
      <c r="B20" s="4"/>
      <c r="C20" s="4"/>
      <c r="D20" s="4"/>
      <c r="E20" s="4"/>
      <c r="F20" s="4"/>
      <c r="G20" s="4"/>
      <c r="H20" s="4"/>
      <c r="I20" s="4"/>
      <c r="J20" s="4"/>
      <c r="K20" s="4"/>
      <c r="L20" s="4"/>
      <c r="M20" s="4"/>
      <c r="N20" s="4"/>
      <c r="O20" s="4"/>
    </row>
    <row r="21" customFormat="false" ht="15" hidden="false" customHeight="false" outlineLevel="0" collapsed="false">
      <c r="A21" s="42" t="s">
        <v>263</v>
      </c>
      <c r="C21" s="39" t="n">
        <f aca="false">Assumptions!$B$39</f>
        <v>0</v>
      </c>
      <c r="D21" s="39" t="n">
        <f aca="false">0</f>
        <v>0</v>
      </c>
      <c r="E21" s="39" t="n">
        <f aca="false">0</f>
        <v>0</v>
      </c>
      <c r="F21" s="39" t="n">
        <f aca="false">0</f>
        <v>0</v>
      </c>
      <c r="G21" s="39" t="n">
        <f aca="false">0</f>
        <v>0</v>
      </c>
      <c r="H21" s="39" t="n">
        <f aca="false">0</f>
        <v>0</v>
      </c>
      <c r="I21" s="39" t="n">
        <f aca="false">0</f>
        <v>0</v>
      </c>
      <c r="J21" s="39" t="n">
        <f aca="false">0</f>
        <v>0</v>
      </c>
      <c r="K21" s="39" t="n">
        <f aca="false">0</f>
        <v>0</v>
      </c>
      <c r="L21" s="39" t="n">
        <f aca="false">0</f>
        <v>0</v>
      </c>
      <c r="M21" s="39" t="n">
        <f aca="false">0</f>
        <v>0</v>
      </c>
      <c r="N21" s="39" t="n">
        <f aca="false">0</f>
        <v>0</v>
      </c>
    </row>
    <row r="22" customFormat="false" ht="15" hidden="false" customHeight="false" outlineLevel="0" collapsed="false">
      <c r="A22" s="5" t="s">
        <v>264</v>
      </c>
      <c r="C22" s="40" t="n">
        <f aca="false">C21</f>
        <v>0</v>
      </c>
      <c r="D22" s="40" t="n">
        <f aca="false">D21</f>
        <v>0</v>
      </c>
      <c r="E22" s="40" t="n">
        <f aca="false">E21</f>
        <v>0</v>
      </c>
      <c r="F22" s="40" t="n">
        <f aca="false">F21</f>
        <v>0</v>
      </c>
      <c r="G22" s="40" t="n">
        <f aca="false">G21</f>
        <v>0</v>
      </c>
      <c r="H22" s="40" t="n">
        <f aca="false">H21</f>
        <v>0</v>
      </c>
      <c r="I22" s="40" t="n">
        <f aca="false">I21</f>
        <v>0</v>
      </c>
      <c r="J22" s="40" t="n">
        <f aca="false">J21</f>
        <v>0</v>
      </c>
      <c r="K22" s="40" t="n">
        <f aca="false">K21</f>
        <v>0</v>
      </c>
      <c r="L22" s="40" t="n">
        <f aca="false">L21</f>
        <v>0</v>
      </c>
      <c r="M22" s="40" t="n">
        <f aca="false">M21</f>
        <v>0</v>
      </c>
      <c r="N22" s="40" t="n">
        <f aca="false">N21</f>
        <v>0</v>
      </c>
    </row>
    <row r="24" customFormat="false" ht="15" hidden="false" customHeight="false" outlineLevel="0" collapsed="false">
      <c r="A24" s="5" t="s">
        <v>265</v>
      </c>
      <c r="C24" s="40" t="n">
        <f aca="false">C14+C18+C22</f>
        <v>-137005.518126998</v>
      </c>
      <c r="D24" s="40" t="n">
        <f aca="false">D14+D18+D22</f>
        <v>-126205.931602494</v>
      </c>
      <c r="E24" s="40" t="n">
        <f aca="false">E14+E18+E22</f>
        <v>-134012.247675398</v>
      </c>
      <c r="F24" s="40" t="n">
        <f aca="false">F14+F18+F22</f>
        <v>-142575.397638982</v>
      </c>
      <c r="G24" s="40" t="n">
        <f aca="false">G14+G18+G22</f>
        <v>-151177.963693426</v>
      </c>
      <c r="H24" s="40" t="n">
        <f aca="false">H14+H18+H22</f>
        <v>-157018.91568206</v>
      </c>
      <c r="I24" s="40" t="n">
        <f aca="false">I14+I18+I22</f>
        <v>-159429.536456669</v>
      </c>
      <c r="J24" s="40" t="n">
        <f aca="false">J14+J18+J22</f>
        <v>-169318.447285638</v>
      </c>
      <c r="K24" s="40" t="n">
        <f aca="false">K14+K18+K22</f>
        <v>-159405.779049514</v>
      </c>
      <c r="L24" s="40" t="n">
        <f aca="false">L14+L18+L22</f>
        <v>-153127.62546497</v>
      </c>
      <c r="M24" s="40" t="n">
        <f aca="false">M14+M18+M22</f>
        <v>-138769.820858214</v>
      </c>
      <c r="N24" s="40" t="n">
        <f aca="false">N14+N18+N22</f>
        <v>-122651.588841213</v>
      </c>
    </row>
    <row r="25" customFormat="false" ht="15" hidden="false" customHeight="false" outlineLevel="0" collapsed="false">
      <c r="A25" s="23" t="s">
        <v>266</v>
      </c>
      <c r="C25" s="39" t="n">
        <f aca="false">B26</f>
        <v>3000000</v>
      </c>
      <c r="D25" s="39" t="n">
        <f aca="false">C26</f>
        <v>2862994.481873</v>
      </c>
      <c r="E25" s="39" t="n">
        <f aca="false">D26</f>
        <v>2736788.55027051</v>
      </c>
      <c r="F25" s="39" t="n">
        <f aca="false">E26</f>
        <v>2602776.30259511</v>
      </c>
      <c r="G25" s="39" t="n">
        <f aca="false">F26</f>
        <v>2460200.90495613</v>
      </c>
      <c r="H25" s="39" t="n">
        <f aca="false">G26</f>
        <v>2309022.9412627</v>
      </c>
      <c r="I25" s="39" t="n">
        <f aca="false">H26</f>
        <v>2152004.02558064</v>
      </c>
      <c r="J25" s="39" t="n">
        <f aca="false">I26</f>
        <v>1992574.48912397</v>
      </c>
      <c r="K25" s="39" t="n">
        <f aca="false">J26</f>
        <v>1823256.04183834</v>
      </c>
      <c r="L25" s="39" t="n">
        <f aca="false">K26</f>
        <v>1663850.26278882</v>
      </c>
      <c r="M25" s="39" t="n">
        <f aca="false">L26</f>
        <v>1510722.63732385</v>
      </c>
      <c r="N25" s="39" t="n">
        <f aca="false">M26</f>
        <v>1371952.81646564</v>
      </c>
    </row>
    <row r="26" customFormat="false" ht="15" hidden="false" customHeight="false" outlineLevel="0" collapsed="false">
      <c r="A26" s="5" t="s">
        <v>267</v>
      </c>
      <c r="B26" s="45" t="n">
        <f aca="false">Assumptions!B28</f>
        <v>3000000</v>
      </c>
      <c r="C26" s="40" t="n">
        <f aca="false">C25+C24</f>
        <v>2862994.481873</v>
      </c>
      <c r="D26" s="40" t="n">
        <f aca="false">D25+D24</f>
        <v>2736788.55027051</v>
      </c>
      <c r="E26" s="40" t="n">
        <f aca="false">E25+E24</f>
        <v>2602776.30259511</v>
      </c>
      <c r="F26" s="40" t="n">
        <f aca="false">F25+F24</f>
        <v>2460200.90495613</v>
      </c>
      <c r="G26" s="40" t="n">
        <f aca="false">G25+G24</f>
        <v>2309022.9412627</v>
      </c>
      <c r="H26" s="40" t="n">
        <f aca="false">H25+H24</f>
        <v>2152004.02558064</v>
      </c>
      <c r="I26" s="40" t="n">
        <f aca="false">I25+I24</f>
        <v>1992574.48912397</v>
      </c>
      <c r="J26" s="40" t="n">
        <f aca="false">J25+J24</f>
        <v>1823256.04183834</v>
      </c>
      <c r="K26" s="40" t="n">
        <f aca="false">K25+K24</f>
        <v>1663850.26278882</v>
      </c>
      <c r="L26" s="40" t="n">
        <f aca="false">L25+L24</f>
        <v>1510722.63732385</v>
      </c>
      <c r="M26" s="40" t="n">
        <f aca="false">M25+M24</f>
        <v>1371952.81646564</v>
      </c>
      <c r="N26" s="40" t="n">
        <f aca="false">N25+N24</f>
        <v>1249301.22762443</v>
      </c>
    </row>
    <row r="28" customFormat="false" ht="15" hidden="false" customHeight="false" outlineLevel="0" collapsed="false">
      <c r="A28" s="3" t="s">
        <v>268</v>
      </c>
      <c r="B28" s="4"/>
      <c r="C28" s="4"/>
      <c r="D28" s="4"/>
      <c r="E28" s="4"/>
      <c r="F28" s="4"/>
      <c r="G28" s="4"/>
      <c r="H28" s="4"/>
      <c r="I28" s="4"/>
      <c r="J28" s="4"/>
      <c r="K28" s="4"/>
      <c r="L28" s="4"/>
      <c r="M28" s="4"/>
      <c r="N28" s="4"/>
      <c r="O28" s="4"/>
    </row>
    <row r="29" customFormat="false" ht="15" hidden="false" customHeight="false" outlineLevel="0" collapsed="false">
      <c r="A29" s="42" t="s">
        <v>269</v>
      </c>
      <c r="C29" s="39" t="n">
        <f aca="false">-C14-C18</f>
        <v>137005.518126998</v>
      </c>
      <c r="D29" s="39" t="n">
        <f aca="false">-D14-D18</f>
        <v>126205.931602494</v>
      </c>
      <c r="E29" s="39" t="n">
        <f aca="false">-E14-E18</f>
        <v>134012.247675398</v>
      </c>
      <c r="F29" s="39" t="n">
        <f aca="false">-F14-F18</f>
        <v>142575.397638982</v>
      </c>
      <c r="G29" s="39" t="n">
        <f aca="false">-G14-G18</f>
        <v>151177.963693426</v>
      </c>
      <c r="H29" s="39" t="n">
        <f aca="false">-H14-H18</f>
        <v>157018.91568206</v>
      </c>
      <c r="I29" s="39" t="n">
        <f aca="false">-I14-I18</f>
        <v>159429.536456669</v>
      </c>
      <c r="J29" s="39" t="n">
        <f aca="false">-J14-J18</f>
        <v>169318.447285638</v>
      </c>
      <c r="K29" s="39" t="n">
        <f aca="false">-K14-K18</f>
        <v>159405.779049514</v>
      </c>
      <c r="L29" s="39" t="n">
        <f aca="false">-L14-L18</f>
        <v>153127.62546497</v>
      </c>
      <c r="M29" s="39" t="n">
        <f aca="false">-M14-M18</f>
        <v>138769.820858214</v>
      </c>
      <c r="N29" s="39" t="n">
        <f aca="false">-N14-N18</f>
        <v>122651.588841213</v>
      </c>
    </row>
    <row r="30" customFormat="false" ht="15" hidden="false" customHeight="false" outlineLevel="0" collapsed="false">
      <c r="A30" s="42" t="s">
        <v>270</v>
      </c>
      <c r="C30" s="39" t="n">
        <f aca="false">AVERAGE($C29:C29)</f>
        <v>137005.518126998</v>
      </c>
      <c r="D30" s="39" t="n">
        <f aca="false">AVERAGE($C29:D29)</f>
        <v>131605.724864746</v>
      </c>
      <c r="E30" s="39" t="n">
        <f aca="false">AVERAGE(C29:E29)</f>
        <v>132407.899134963</v>
      </c>
      <c r="F30" s="39" t="n">
        <f aca="false">AVERAGE(D29:F29)</f>
        <v>134264.525638958</v>
      </c>
      <c r="G30" s="39" t="n">
        <f aca="false">AVERAGE(E29:G29)</f>
        <v>142588.536335935</v>
      </c>
      <c r="H30" s="39" t="n">
        <f aca="false">AVERAGE(F29:H29)</f>
        <v>150257.42567149</v>
      </c>
      <c r="I30" s="39" t="n">
        <f aca="false">AVERAGE(G29:I29)</f>
        <v>155875.471944052</v>
      </c>
      <c r="J30" s="39" t="n">
        <f aca="false">AVERAGE(H29:J29)</f>
        <v>161922.299808122</v>
      </c>
      <c r="K30" s="39" t="n">
        <f aca="false">AVERAGE(I29:K29)</f>
        <v>162717.920930607</v>
      </c>
      <c r="L30" s="39" t="n">
        <f aca="false">AVERAGE(J29:L29)</f>
        <v>160617.283933374</v>
      </c>
      <c r="M30" s="39" t="n">
        <f aca="false">AVERAGE(K29:M29)</f>
        <v>150434.408457566</v>
      </c>
      <c r="N30" s="39" t="n">
        <f aca="false">AVERAGE(L29:N29)</f>
        <v>138183.011721466</v>
      </c>
    </row>
    <row r="31" customFormat="false" ht="15" hidden="false" customHeight="false" outlineLevel="0" collapsed="false">
      <c r="A31" s="42" t="s">
        <v>271</v>
      </c>
      <c r="C31" s="47" t="n">
        <f aca="false">IF(C30&lt;=0,999,C26/C30)</f>
        <v>20.8969282479494</v>
      </c>
      <c r="D31" s="47" t="n">
        <f aca="false">IF(D30&lt;=0,999,D26/D30)</f>
        <v>20.7953609395273</v>
      </c>
      <c r="E31" s="47" t="n">
        <f aca="false">IF(E30&lt;=0,999,E26/E30)</f>
        <v>19.6572585140265</v>
      </c>
      <c r="F31" s="47" t="n">
        <f aca="false">IF(F30&lt;=0,999,F26/F30)</f>
        <v>18.3235362672915</v>
      </c>
      <c r="G31" s="47" t="n">
        <f aca="false">IF(G30&lt;=0,999,G26/G30)</f>
        <v>16.1936085508494</v>
      </c>
      <c r="H31" s="47" t="n">
        <f aca="false">IF(H30&lt;=0,999,H26/H30)</f>
        <v>14.3221143045909</v>
      </c>
      <c r="I31" s="47" t="n">
        <f aca="false">IF(I30&lt;=0,999,I26/I30)</f>
        <v>12.7831176019738</v>
      </c>
      <c r="J31" s="47" t="n">
        <f aca="false">IF(J30&lt;=0,999,J26/J30)</f>
        <v>11.2600676003175</v>
      </c>
      <c r="K31" s="47" t="n">
        <f aca="false">IF(K30&lt;=0,999,K26/K30)</f>
        <v>10.2253657942102</v>
      </c>
      <c r="L31" s="47" t="n">
        <f aca="false">IF(L30&lt;=0,999,L26/L30)</f>
        <v>9.40572894975934</v>
      </c>
      <c r="M31" s="47" t="n">
        <f aca="false">IF(M30&lt;=0,999,M26/M30)</f>
        <v>9.11994024859435</v>
      </c>
      <c r="N31" s="47" t="n">
        <f aca="false">IF(N30&lt;=0,999,N26/N30)</f>
        <v>9.04091763568326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2026-09-29T18:46:30Z</dcterms:created>
  <dc:creator>openpyxl</dc:creator>
  <dc:description/>
  <dc:language>en-US</dc:language>
  <cp:lastModifiedBy/>
  <dcterms:modified xsi:type="dcterms:W3CDTF">2026-09-29T18:46:30Z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